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6" yWindow="120" windowWidth="12360" windowHeight="9996" activeTab="2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'2020'!$A$8:$AQ$77</definedName>
    <definedName name="_xlnm._FilterDatabase" localSheetId="2" hidden="1">'2021'!$A$9:$AW$133</definedName>
    <definedName name="_xlnm._FilterDatabase" localSheetId="3" hidden="1">'2022'!$A$9:$W$65</definedName>
    <definedName name="_xlnm._FilterDatabase" localSheetId="0" hidden="1">'Раздел 1'!$A$15:$XDY$217</definedName>
    <definedName name="Z_01451C91_14DA_4D26_B1B3_18A70391612A_.wvu.FilterData" localSheetId="1" hidden="1">'2020'!$A$8:$AQ$9</definedName>
    <definedName name="Z_01451C91_14DA_4D26_B1B3_18A70391612A_.wvu.PrintArea" localSheetId="1" hidden="1">'2020'!$A$1:$W$74</definedName>
    <definedName name="Z_01451C91_14DA_4D26_B1B3_18A70391612A_.wvu.PrintArea" localSheetId="2" hidden="1">'2021'!$A$1:$W$130</definedName>
    <definedName name="Z_01451C91_14DA_4D26_B1B3_18A70391612A_.wvu.PrintArea" localSheetId="3" hidden="1">'2022'!$A$1:$W$56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'2020'!$A$8:$AQ$9</definedName>
    <definedName name="Z_16B8344E_73EB_416B_B009_420D58C33AEC_.wvu.PrintArea" localSheetId="1" hidden="1">'2020'!$A$1:$W$74</definedName>
    <definedName name="Z_16B8344E_73EB_416B_B009_420D58C33AEC_.wvu.PrintArea" localSheetId="2" hidden="1">'2021'!$A$1:$W$130</definedName>
    <definedName name="Z_16B8344E_73EB_416B_B009_420D58C33AEC_.wvu.PrintArea" localSheetId="3" hidden="1">'2022'!$A$1:$W$56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'2020'!$A$8:$AQ$9</definedName>
    <definedName name="Z_35164214_6B83_4B40_8294_2E9A0423440B_.wvu.FilterData" localSheetId="1" hidden="1">'2020'!#REF!</definedName>
    <definedName name="Z_35164214_6B83_4B40_8294_2E9A0423440B_.wvu.PrintArea" localSheetId="1" hidden="1">'2020'!$A$1:$W$74</definedName>
    <definedName name="Z_35164214_6B83_4B40_8294_2E9A0423440B_.wvu.PrintArea" localSheetId="2" hidden="1">'2021'!$A$1:$W$130</definedName>
    <definedName name="Z_35164214_6B83_4B40_8294_2E9A0423440B_.wvu.PrintArea" localSheetId="3" hidden="1">'2022'!$A$1:$W$56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'2020'!$A$8:$AQ$9</definedName>
    <definedName name="Z_4B6D6BCB_EE2D_42AC_9192_354A33B0E0EA_.wvu.FilterData" localSheetId="2" hidden="1">'2021'!$A$9:$W$17</definedName>
    <definedName name="Z_4B6D6BCB_EE2D_42AC_9192_354A33B0E0EA_.wvu.PrintArea" localSheetId="1" hidden="1">'2020'!$A$1:$W$74</definedName>
    <definedName name="Z_4B6D6BCB_EE2D_42AC_9192_354A33B0E0EA_.wvu.PrintArea" localSheetId="2" hidden="1">'2021'!$A$1:$W$130</definedName>
    <definedName name="Z_4B6D6BCB_EE2D_42AC_9192_354A33B0E0EA_.wvu.PrintArea" localSheetId="3" hidden="1">'2022'!$A$1:$W$56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'2020'!$A$8:$AQ$9</definedName>
    <definedName name="Z_83613F8C_5050_4CDE_94E5_E4721A2F1A39_.wvu.FilterData" localSheetId="1" hidden="1">'2020'!$A$8:$AQ$9</definedName>
    <definedName name="Z_B742453E_6192_4495_8455_B4A974C6429E_.wvu.FilterData" localSheetId="1" hidden="1">'2020'!$A$8:$AQ$9</definedName>
    <definedName name="Z_B742453E_6192_4495_8455_B4A974C6429E_.wvu.PrintArea" localSheetId="1" hidden="1">'2020'!$A$1:$W$74</definedName>
    <definedName name="Z_B742453E_6192_4495_8455_B4A974C6429E_.wvu.PrintArea" localSheetId="2" hidden="1">'2021'!$A$1:$W$130</definedName>
    <definedName name="Z_B742453E_6192_4495_8455_B4A974C6429E_.wvu.PrintArea" localSheetId="3" hidden="1">'2022'!$A$1:$W$56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'2020'!$A$8:$AQ$9</definedName>
    <definedName name="Z_DE2E8392_397B_4E2C_B9DD_E1C088B12D54_.wvu.FilterData" localSheetId="1" hidden="1">'2020'!$A$8:$AQ$9</definedName>
    <definedName name="Z_DFCDC4A7_B1EE_4F7B_A9A5_CB3F46056C80_.wvu.FilterData" localSheetId="1" hidden="1">'2020'!$A$8:$AQ$9</definedName>
    <definedName name="Z_DFCDC4A7_B1EE_4F7B_A9A5_CB3F46056C80_.wvu.PrintArea" localSheetId="1" hidden="1">'2020'!$A$1:$W$74</definedName>
    <definedName name="Z_DFCDC4A7_B1EE_4F7B_A9A5_CB3F46056C80_.wvu.PrintArea" localSheetId="2" hidden="1">'2021'!$A$1:$W$130</definedName>
    <definedName name="Z_DFCDC4A7_B1EE_4F7B_A9A5_CB3F46056C80_.wvu.PrintArea" localSheetId="3" hidden="1">'2022'!$A$1:$W$56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'2020'!$A$8:$AQ$9</definedName>
    <definedName name="Z_E557CDC6_6AA0_4DD0_B6F9_A94A1E4C138A_.wvu.PrintArea" localSheetId="1" hidden="1">'2020'!$A$1:$W$74</definedName>
    <definedName name="Z_E557CDC6_6AA0_4DD0_B6F9_A94A1E4C138A_.wvu.PrintArea" localSheetId="2" hidden="1">'2021'!$A$1:$W$130</definedName>
    <definedName name="Z_E557CDC6_6AA0_4DD0_B6F9_A94A1E4C138A_.wvu.PrintArea" localSheetId="3" hidden="1">'2022'!$A$1:$W$56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'2020'!$A$8:$AQ$9</definedName>
    <definedName name="_xlnm.Print_Area" localSheetId="1">'2020'!$A$1:$W$77</definedName>
    <definedName name="_xlnm.Print_Area" localSheetId="2">'2021'!$A$1:$W$132</definedName>
    <definedName name="_xlnm.Print_Area" localSheetId="3">'2022'!$A$1:$W$65</definedName>
    <definedName name="_xlnm.Print_Area" localSheetId="0">'Раздел 1'!$A$1:$K$217</definedName>
  </definedNames>
  <calcPr calcId="145621" iterateDelta="1E-4"/>
</workbook>
</file>

<file path=xl/calcChain.xml><?xml version="1.0" encoding="utf-8"?>
<calcChain xmlns="http://schemas.openxmlformats.org/spreadsheetml/2006/main">
  <c r="A99" i="2" l="1"/>
  <c r="A76" i="5"/>
  <c r="A33" i="6" l="1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C56" i="6"/>
  <c r="D29" i="6"/>
  <c r="D30" i="6" s="1"/>
  <c r="E29" i="6"/>
  <c r="F29" i="6"/>
  <c r="G29" i="6"/>
  <c r="G30" i="6" s="1"/>
  <c r="H29" i="6"/>
  <c r="H30" i="6" s="1"/>
  <c r="I29" i="6"/>
  <c r="J29" i="6"/>
  <c r="K29" i="6"/>
  <c r="K30" i="6" s="1"/>
  <c r="L29" i="6"/>
  <c r="L30" i="6" s="1"/>
  <c r="M29" i="6"/>
  <c r="N29" i="6"/>
  <c r="O29" i="6"/>
  <c r="O30" i="6" s="1"/>
  <c r="P29" i="6"/>
  <c r="P30" i="6" s="1"/>
  <c r="Q29" i="6"/>
  <c r="R29" i="6"/>
  <c r="S29" i="6"/>
  <c r="S30" i="6" s="1"/>
  <c r="T29" i="6"/>
  <c r="T30" i="6" s="1"/>
  <c r="U29" i="6"/>
  <c r="V29" i="6"/>
  <c r="W29" i="6"/>
  <c r="W30" i="6" s="1"/>
  <c r="X29" i="6"/>
  <c r="X30" i="6" s="1"/>
  <c r="Y29" i="6"/>
  <c r="Z29" i="6"/>
  <c r="AA29" i="6"/>
  <c r="AA30" i="6" s="1"/>
  <c r="AB29" i="6"/>
  <c r="AB30" i="6" s="1"/>
  <c r="AC29" i="6"/>
  <c r="AD29" i="6"/>
  <c r="AE29" i="6"/>
  <c r="AE30" i="6" s="1"/>
  <c r="AF29" i="6"/>
  <c r="AF30" i="6" s="1"/>
  <c r="AG29" i="6"/>
  <c r="AH29" i="6"/>
  <c r="AI29" i="6"/>
  <c r="AI30" i="6" s="1"/>
  <c r="AJ29" i="6"/>
  <c r="AJ30" i="6" s="1"/>
  <c r="AK29" i="6"/>
  <c r="AL29" i="6"/>
  <c r="AM29" i="6"/>
  <c r="AM30" i="6" s="1"/>
  <c r="AN29" i="6"/>
  <c r="AN30" i="6" s="1"/>
  <c r="AO29" i="6"/>
  <c r="AP29" i="6"/>
  <c r="AQ29" i="6"/>
  <c r="AQ30" i="6" s="1"/>
  <c r="AR29" i="6"/>
  <c r="AR30" i="6" s="1"/>
  <c r="AS29" i="6"/>
  <c r="E30" i="6"/>
  <c r="F30" i="6"/>
  <c r="I30" i="6"/>
  <c r="J30" i="6"/>
  <c r="M30" i="6"/>
  <c r="N30" i="6"/>
  <c r="Q30" i="6"/>
  <c r="R30" i="6"/>
  <c r="U30" i="6"/>
  <c r="V30" i="6"/>
  <c r="Y30" i="6"/>
  <c r="Z30" i="6"/>
  <c r="AC30" i="6"/>
  <c r="AD30" i="6"/>
  <c r="AG30" i="6"/>
  <c r="AH30" i="6"/>
  <c r="AK30" i="6"/>
  <c r="AL30" i="6"/>
  <c r="AO30" i="6"/>
  <c r="AP30" i="6"/>
  <c r="AS30" i="6"/>
  <c r="C30" i="6"/>
  <c r="C29" i="6"/>
  <c r="X31" i="6"/>
  <c r="Y31" i="6"/>
  <c r="C28" i="6"/>
  <c r="I173" i="2" l="1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G52" i="2" l="1"/>
  <c r="H52" i="2"/>
  <c r="D37" i="5" l="1"/>
  <c r="L40" i="5"/>
  <c r="M40" i="5"/>
  <c r="N40" i="5"/>
  <c r="O40" i="5"/>
  <c r="P40" i="5"/>
  <c r="Q40" i="5"/>
  <c r="R40" i="5"/>
  <c r="S40" i="5"/>
  <c r="T40" i="5"/>
  <c r="U40" i="5"/>
  <c r="V40" i="5"/>
  <c r="W39" i="5"/>
  <c r="D39" i="5"/>
  <c r="C39" i="5" s="1"/>
  <c r="I51" i="2" s="1"/>
  <c r="W38" i="5"/>
  <c r="D38" i="5"/>
  <c r="W37" i="5"/>
  <c r="W40" i="5" l="1"/>
  <c r="C38" i="5"/>
  <c r="I50" i="2" s="1"/>
  <c r="J40" i="5"/>
  <c r="K40" i="5"/>
  <c r="G97" i="2"/>
  <c r="H97" i="2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C73" i="5"/>
  <c r="I96" i="2" s="1"/>
  <c r="D112" i="5"/>
  <c r="C112" i="5" s="1"/>
  <c r="I159" i="2" s="1"/>
  <c r="I40" i="5" l="1"/>
  <c r="I97" i="2"/>
  <c r="C74" i="5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H103" i="2"/>
  <c r="G103" i="2"/>
  <c r="H132" i="2"/>
  <c r="G132" i="2"/>
  <c r="H40" i="5" l="1"/>
  <c r="G171" i="2"/>
  <c r="H171" i="2"/>
  <c r="W127" i="5"/>
  <c r="W126" i="5"/>
  <c r="C126" i="5" s="1"/>
  <c r="I169" i="2" s="1"/>
  <c r="W111" i="5"/>
  <c r="W110" i="5"/>
  <c r="G40" i="5" l="1"/>
  <c r="V128" i="5"/>
  <c r="V129" i="5" s="1"/>
  <c r="W128" i="5"/>
  <c r="W129" i="5" s="1"/>
  <c r="C127" i="5"/>
  <c r="I170" i="2" s="1"/>
  <c r="I171" i="2" s="1"/>
  <c r="F40" i="5" l="1"/>
  <c r="U128" i="5"/>
  <c r="U129" i="5" s="1"/>
  <c r="E40" i="5" l="1"/>
  <c r="T128" i="5"/>
  <c r="T129" i="5" s="1"/>
  <c r="C37" i="5" l="1"/>
  <c r="D40" i="5"/>
  <c r="S128" i="5"/>
  <c r="S129" i="5" s="1"/>
  <c r="C40" i="5" l="1"/>
  <c r="I49" i="2"/>
  <c r="I52" i="2" s="1"/>
  <c r="R128" i="5"/>
  <c r="R129" i="5" s="1"/>
  <c r="Q128" i="5" l="1"/>
  <c r="Q129" i="5" s="1"/>
  <c r="P128" i="5" l="1"/>
  <c r="P129" i="5" s="1"/>
  <c r="O128" i="5" l="1"/>
  <c r="O129" i="5" s="1"/>
  <c r="N128" i="5" l="1"/>
  <c r="N129" i="5" s="1"/>
  <c r="M128" i="5" l="1"/>
  <c r="M129" i="5" s="1"/>
  <c r="L128" i="5" l="1"/>
  <c r="L129" i="5" s="1"/>
  <c r="K128" i="5" l="1"/>
  <c r="K129" i="5" s="1"/>
  <c r="J128" i="5" l="1"/>
  <c r="J129" i="5" s="1"/>
  <c r="I128" i="5" l="1"/>
  <c r="I129" i="5" s="1"/>
  <c r="H128" i="5" l="1"/>
  <c r="H129" i="5" s="1"/>
  <c r="G128" i="5" l="1"/>
  <c r="G129" i="5" s="1"/>
  <c r="F128" i="5" l="1"/>
  <c r="F129" i="5" s="1"/>
  <c r="E128" i="5" l="1"/>
  <c r="E129" i="5" s="1"/>
  <c r="C128" i="5" l="1"/>
  <c r="C129" i="5" s="1"/>
  <c r="D128" i="5"/>
  <c r="D129" i="5" s="1"/>
  <c r="D110" i="5" l="1"/>
  <c r="C110" i="5" s="1"/>
  <c r="D111" i="5" l="1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3" i="6"/>
  <c r="W54" i="6" s="1"/>
  <c r="W55" i="6" s="1"/>
  <c r="C53" i="6" l="1"/>
  <c r="C111" i="5"/>
  <c r="I158" i="2" s="1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C34" i="5"/>
  <c r="I46" i="2" s="1"/>
  <c r="C54" i="6" l="1"/>
  <c r="C55" i="6" s="1"/>
  <c r="I131" i="2"/>
  <c r="I157" i="2"/>
  <c r="E80" i="5" l="1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D40" i="4" l="1"/>
  <c r="C40" i="4" s="1"/>
  <c r="D33" i="4" l="1"/>
  <c r="D34" i="4"/>
  <c r="C34" i="4" s="1"/>
  <c r="D35" i="4"/>
  <c r="D36" i="4"/>
  <c r="C36" i="4" s="1"/>
  <c r="D37" i="4"/>
  <c r="C37" i="4" s="1"/>
  <c r="D38" i="4"/>
  <c r="C38" i="4" s="1"/>
  <c r="D39" i="4"/>
  <c r="C39" i="4" s="1"/>
  <c r="D41" i="4"/>
  <c r="D42" i="4"/>
  <c r="C42" i="4" s="1"/>
  <c r="D43" i="4"/>
  <c r="C43" i="4" s="1"/>
  <c r="D44" i="4"/>
  <c r="C44" i="4" s="1"/>
  <c r="D45" i="4"/>
  <c r="C45" i="4" s="1"/>
  <c r="D46" i="4"/>
  <c r="C46" i="4" s="1"/>
  <c r="D47" i="4"/>
  <c r="C47" i="4" s="1"/>
  <c r="D48" i="4"/>
  <c r="C48" i="4" s="1"/>
  <c r="D49" i="4"/>
  <c r="C49" i="4" s="1"/>
  <c r="D50" i="4"/>
  <c r="C50" i="4" s="1"/>
  <c r="D51" i="4"/>
  <c r="C51" i="4" s="1"/>
  <c r="D52" i="4"/>
  <c r="C52" i="4" s="1"/>
  <c r="D53" i="4"/>
  <c r="C53" i="4" s="1"/>
  <c r="D54" i="4"/>
  <c r="C54" i="4" s="1"/>
  <c r="D55" i="4"/>
  <c r="C55" i="4" s="1"/>
  <c r="D56" i="4"/>
  <c r="C56" i="4" s="1"/>
  <c r="D57" i="4"/>
  <c r="C57" i="4" s="1"/>
  <c r="D58" i="4"/>
  <c r="C58" i="4" s="1"/>
  <c r="D59" i="4"/>
  <c r="C59" i="4" s="1"/>
  <c r="D60" i="4"/>
  <c r="C60" i="4" s="1"/>
  <c r="D61" i="4"/>
  <c r="C61" i="4" s="1"/>
  <c r="D62" i="4"/>
  <c r="C62" i="4" s="1"/>
  <c r="D63" i="4"/>
  <c r="C63" i="4" s="1"/>
  <c r="D64" i="4"/>
  <c r="C64" i="4" s="1"/>
  <c r="D65" i="4"/>
  <c r="C65" i="4" s="1"/>
  <c r="D66" i="4"/>
  <c r="C66" i="4" s="1"/>
  <c r="D67" i="4"/>
  <c r="C67" i="4" s="1"/>
  <c r="D68" i="4"/>
  <c r="C68" i="4" s="1"/>
  <c r="D69" i="4"/>
  <c r="C69" i="4" s="1"/>
  <c r="D70" i="4"/>
  <c r="C70" i="4" s="1"/>
  <c r="D71" i="4"/>
  <c r="C71" i="4" s="1"/>
  <c r="C35" i="4"/>
  <c r="C41" i="4"/>
  <c r="E72" i="4"/>
  <c r="E73" i="4" s="1"/>
  <c r="F72" i="4"/>
  <c r="F73" i="4" s="1"/>
  <c r="G72" i="4"/>
  <c r="G73" i="4" s="1"/>
  <c r="H72" i="4"/>
  <c r="H73" i="4" s="1"/>
  <c r="I72" i="4"/>
  <c r="I73" i="4" s="1"/>
  <c r="J72" i="4"/>
  <c r="J73" i="4" s="1"/>
  <c r="K72" i="4"/>
  <c r="K73" i="4" s="1"/>
  <c r="L72" i="4"/>
  <c r="L73" i="4" s="1"/>
  <c r="M72" i="4"/>
  <c r="M73" i="4" s="1"/>
  <c r="N72" i="4"/>
  <c r="N73" i="4" s="1"/>
  <c r="O72" i="4"/>
  <c r="O73" i="4" s="1"/>
  <c r="P72" i="4"/>
  <c r="P73" i="4" s="1"/>
  <c r="Q72" i="4"/>
  <c r="Q73" i="4" s="1"/>
  <c r="R72" i="4"/>
  <c r="R73" i="4" s="1"/>
  <c r="S72" i="4"/>
  <c r="S73" i="4" s="1"/>
  <c r="T72" i="4"/>
  <c r="T73" i="4" s="1"/>
  <c r="U72" i="4"/>
  <c r="U73" i="4" s="1"/>
  <c r="V72" i="4"/>
  <c r="V73" i="4" s="1"/>
  <c r="W72" i="4"/>
  <c r="W73" i="4" s="1"/>
  <c r="A17" i="4"/>
  <c r="A22" i="4" s="1"/>
  <c r="A27" i="4" s="1"/>
  <c r="A32" i="4" s="1"/>
  <c r="H213" i="2" l="1"/>
  <c r="H214" i="2" s="1"/>
  <c r="G213" i="2"/>
  <c r="G214" i="2" s="1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C33" i="4" l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220" i="2" s="1"/>
  <c r="G47" i="2" l="1"/>
  <c r="H47" i="2"/>
  <c r="D26" i="5" l="1"/>
  <c r="D27" i="5"/>
  <c r="D29" i="5"/>
  <c r="D31" i="5"/>
  <c r="H30" i="2" l="1"/>
  <c r="G30" i="2"/>
  <c r="D13" i="4"/>
  <c r="D14" i="4" s="1"/>
  <c r="E13" i="4"/>
  <c r="E14" i="4" s="1"/>
  <c r="F13" i="4"/>
  <c r="F14" i="4" s="1"/>
  <c r="G13" i="4"/>
  <c r="G14" i="4" s="1"/>
  <c r="H13" i="4"/>
  <c r="H14" i="4" s="1"/>
  <c r="I13" i="4"/>
  <c r="I14" i="4" s="1"/>
  <c r="J13" i="4"/>
  <c r="J14" i="4" s="1"/>
  <c r="K13" i="4"/>
  <c r="K14" i="4" s="1"/>
  <c r="L13" i="4"/>
  <c r="L14" i="4" s="1"/>
  <c r="M13" i="4"/>
  <c r="M14" i="4" s="1"/>
  <c r="N13" i="4"/>
  <c r="N14" i="4" s="1"/>
  <c r="O13" i="4"/>
  <c r="O14" i="4" s="1"/>
  <c r="P13" i="4"/>
  <c r="P14" i="4" s="1"/>
  <c r="Q13" i="4"/>
  <c r="Q14" i="4" s="1"/>
  <c r="R13" i="4"/>
  <c r="R14" i="4" s="1"/>
  <c r="S13" i="4"/>
  <c r="S14" i="4" s="1"/>
  <c r="T13" i="4"/>
  <c r="T14" i="4" s="1"/>
  <c r="U13" i="4"/>
  <c r="U14" i="4" s="1"/>
  <c r="V13" i="4"/>
  <c r="V14" i="4" s="1"/>
  <c r="W13" i="4"/>
  <c r="W14" i="4" s="1"/>
  <c r="C12" i="4"/>
  <c r="C13" i="4" s="1"/>
  <c r="C14" i="4" s="1"/>
  <c r="I29" i="2" l="1"/>
  <c r="I30" i="2" s="1"/>
  <c r="W20" i="6"/>
  <c r="W18" i="6"/>
  <c r="W50" i="5" l="1"/>
  <c r="W51" i="5"/>
  <c r="W30" i="5" l="1"/>
  <c r="E122" i="5" l="1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V43" i="5"/>
  <c r="V44" i="5" s="1"/>
  <c r="U43" i="5"/>
  <c r="U44" i="5" s="1"/>
  <c r="T43" i="5"/>
  <c r="T44" i="5" s="1"/>
  <c r="S43" i="5"/>
  <c r="S44" i="5" s="1"/>
  <c r="R43" i="5"/>
  <c r="R44" i="5" s="1"/>
  <c r="Q43" i="5"/>
  <c r="Q44" i="5" s="1"/>
  <c r="P43" i="5"/>
  <c r="P44" i="5" s="1"/>
  <c r="O43" i="5"/>
  <c r="O44" i="5" s="1"/>
  <c r="N43" i="5"/>
  <c r="N44" i="5" s="1"/>
  <c r="M43" i="5"/>
  <c r="M44" i="5" s="1"/>
  <c r="L43" i="5"/>
  <c r="L44" i="5" s="1"/>
  <c r="K43" i="5"/>
  <c r="K44" i="5" s="1"/>
  <c r="J43" i="5"/>
  <c r="J44" i="5" s="1"/>
  <c r="I43" i="5"/>
  <c r="I44" i="5" s="1"/>
  <c r="H43" i="5"/>
  <c r="H44" i="5" s="1"/>
  <c r="G43" i="5"/>
  <c r="G44" i="5" s="1"/>
  <c r="F43" i="5"/>
  <c r="F44" i="5" s="1"/>
  <c r="E43" i="5"/>
  <c r="E44" i="5" s="1"/>
  <c r="D43" i="5"/>
  <c r="D109" i="5" l="1"/>
  <c r="G166" i="2"/>
  <c r="H166" i="2"/>
  <c r="G149" i="2"/>
  <c r="H149" i="2"/>
  <c r="G146" i="2"/>
  <c r="H146" i="2"/>
  <c r="G141" i="2"/>
  <c r="H141" i="2"/>
  <c r="G126" i="2"/>
  <c r="H126" i="2"/>
  <c r="G117" i="2"/>
  <c r="H117" i="2"/>
  <c r="G111" i="2"/>
  <c r="H111" i="2"/>
  <c r="H55" i="2"/>
  <c r="G33" i="2"/>
  <c r="G34" i="2" s="1"/>
  <c r="H33" i="2"/>
  <c r="H34" i="2" s="1"/>
  <c r="G25" i="2"/>
  <c r="H25" i="2"/>
  <c r="G22" i="2"/>
  <c r="H22" i="2"/>
  <c r="A21" i="2"/>
  <c r="A24" i="2" s="1"/>
  <c r="H127" i="2" l="1"/>
  <c r="G127" i="2"/>
  <c r="A29" i="2"/>
  <c r="A32" i="2" s="1"/>
  <c r="A37" i="2" s="1"/>
  <c r="A38" i="2" s="1"/>
  <c r="A39" i="2" s="1"/>
  <c r="A40" i="2" s="1"/>
  <c r="A41" i="2" s="1"/>
  <c r="A42" i="2" s="1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W104" i="5"/>
  <c r="W105" i="5" s="1"/>
  <c r="D104" i="5"/>
  <c r="D105" i="5" s="1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W96" i="5"/>
  <c r="W97" i="5" s="1"/>
  <c r="D96" i="5"/>
  <c r="D97" i="5" s="1"/>
  <c r="AC49" i="6"/>
  <c r="W48" i="6"/>
  <c r="C48" i="6" s="1"/>
  <c r="I125" i="2" s="1"/>
  <c r="W47" i="6"/>
  <c r="C47" i="6" s="1"/>
  <c r="I124" i="2" s="1"/>
  <c r="W46" i="6"/>
  <c r="C46" i="6" s="1"/>
  <c r="I123" i="2" s="1"/>
  <c r="W45" i="6"/>
  <c r="C45" i="6" s="1"/>
  <c r="I122" i="2" s="1"/>
  <c r="W44" i="6"/>
  <c r="C44" i="6" s="1"/>
  <c r="I121" i="2" s="1"/>
  <c r="W43" i="6"/>
  <c r="C43" i="6" s="1"/>
  <c r="I120" i="2" s="1"/>
  <c r="Y41" i="6"/>
  <c r="X41" i="6"/>
  <c r="W42" i="6"/>
  <c r="A17" i="6"/>
  <c r="AC40" i="6"/>
  <c r="D39" i="6"/>
  <c r="C39" i="6" s="1"/>
  <c r="I116" i="2" s="1"/>
  <c r="W38" i="6"/>
  <c r="D38" i="6"/>
  <c r="C38" i="6" s="1"/>
  <c r="I115" i="2" s="1"/>
  <c r="W37" i="6"/>
  <c r="W40" i="6" s="1"/>
  <c r="D37" i="6"/>
  <c r="D36" i="6"/>
  <c r="C36" i="6" s="1"/>
  <c r="I113" i="2" s="1"/>
  <c r="AC50" i="6"/>
  <c r="V34" i="6"/>
  <c r="V40" i="6" s="1"/>
  <c r="V50" i="6" s="1"/>
  <c r="U34" i="6"/>
  <c r="U40" i="6" s="1"/>
  <c r="U50" i="6" s="1"/>
  <c r="T34" i="6"/>
  <c r="T40" i="6" s="1"/>
  <c r="T50" i="6" s="1"/>
  <c r="S34" i="6"/>
  <c r="S40" i="6" s="1"/>
  <c r="S50" i="6" s="1"/>
  <c r="R34" i="6"/>
  <c r="R40" i="6" s="1"/>
  <c r="R50" i="6" s="1"/>
  <c r="Q34" i="6"/>
  <c r="Q40" i="6" s="1"/>
  <c r="Q50" i="6" s="1"/>
  <c r="P34" i="6"/>
  <c r="P40" i="6" s="1"/>
  <c r="P50" i="6" s="1"/>
  <c r="O34" i="6"/>
  <c r="O40" i="6" s="1"/>
  <c r="O50" i="6" s="1"/>
  <c r="N34" i="6"/>
  <c r="N40" i="6" s="1"/>
  <c r="N50" i="6" s="1"/>
  <c r="M34" i="6"/>
  <c r="M40" i="6" s="1"/>
  <c r="M50" i="6" s="1"/>
  <c r="L34" i="6"/>
  <c r="L40" i="6" s="1"/>
  <c r="L50" i="6" s="1"/>
  <c r="K34" i="6"/>
  <c r="K40" i="6" s="1"/>
  <c r="K50" i="6" s="1"/>
  <c r="J34" i="6"/>
  <c r="J40" i="6" s="1"/>
  <c r="J50" i="6" s="1"/>
  <c r="I34" i="6"/>
  <c r="I40" i="6" s="1"/>
  <c r="I50" i="6" s="1"/>
  <c r="H34" i="6"/>
  <c r="H40" i="6" s="1"/>
  <c r="H50" i="6" s="1"/>
  <c r="G34" i="6"/>
  <c r="G40" i="6" s="1"/>
  <c r="G50" i="6" s="1"/>
  <c r="F34" i="6"/>
  <c r="F40" i="6" s="1"/>
  <c r="F50" i="6" s="1"/>
  <c r="E34" i="6"/>
  <c r="E40" i="6" s="1"/>
  <c r="E50" i="6" s="1"/>
  <c r="D34" i="6"/>
  <c r="W33" i="6"/>
  <c r="C33" i="6" s="1"/>
  <c r="C34" i="6" s="1"/>
  <c r="Y32" i="6"/>
  <c r="X32" i="6"/>
  <c r="D76" i="5"/>
  <c r="C20" i="6"/>
  <c r="I87" i="2" s="1"/>
  <c r="C76" i="5" l="1"/>
  <c r="A43" i="2"/>
  <c r="A44" i="2" s="1"/>
  <c r="A45" i="2" s="1"/>
  <c r="A46" i="2" s="1"/>
  <c r="A49" i="2" s="1"/>
  <c r="A50" i="2" s="1"/>
  <c r="A51" i="2" s="1"/>
  <c r="A54" i="2" s="1"/>
  <c r="C42" i="6"/>
  <c r="X42" i="6" s="1"/>
  <c r="W49" i="6"/>
  <c r="I110" i="2"/>
  <c r="I111" i="2" s="1"/>
  <c r="C104" i="5"/>
  <c r="C96" i="5"/>
  <c r="Y46" i="6"/>
  <c r="X46" i="6"/>
  <c r="X47" i="6"/>
  <c r="Y47" i="6"/>
  <c r="Y48" i="6"/>
  <c r="X48" i="6"/>
  <c r="Y45" i="6"/>
  <c r="X45" i="6"/>
  <c r="Y44" i="6"/>
  <c r="X44" i="6"/>
  <c r="D40" i="6"/>
  <c r="D50" i="6" s="1"/>
  <c r="Y43" i="6"/>
  <c r="X43" i="6"/>
  <c r="C37" i="6"/>
  <c r="W34" i="6"/>
  <c r="Y33" i="6"/>
  <c r="X33" i="6"/>
  <c r="Y20" i="6"/>
  <c r="X20" i="6"/>
  <c r="I99" i="2" l="1"/>
  <c r="W50" i="6"/>
  <c r="Y42" i="6"/>
  <c r="C49" i="6"/>
  <c r="I119" i="2"/>
  <c r="I126" i="2" s="1"/>
  <c r="C40" i="6"/>
  <c r="I114" i="2"/>
  <c r="I117" i="2" s="1"/>
  <c r="C97" i="5"/>
  <c r="I140" i="2"/>
  <c r="I141" i="2" s="1"/>
  <c r="C105" i="5"/>
  <c r="I148" i="2"/>
  <c r="I149" i="2" s="1"/>
  <c r="I127" i="2" l="1"/>
  <c r="X40" i="6"/>
  <c r="C50" i="6"/>
  <c r="X50" i="6" s="1"/>
  <c r="Y40" i="6"/>
  <c r="Y49" i="6"/>
  <c r="X49" i="6"/>
  <c r="Y50" i="6" l="1"/>
  <c r="L127" i="2"/>
  <c r="W58" i="5"/>
  <c r="D58" i="5"/>
  <c r="W42" i="5"/>
  <c r="V21" i="5"/>
  <c r="V22" i="5" s="1"/>
  <c r="U21" i="5"/>
  <c r="U22" i="5" s="1"/>
  <c r="T21" i="5"/>
  <c r="T22" i="5" s="1"/>
  <c r="S21" i="5"/>
  <c r="S22" i="5" s="1"/>
  <c r="R21" i="5"/>
  <c r="R22" i="5" s="1"/>
  <c r="Q21" i="5"/>
  <c r="Q22" i="5" s="1"/>
  <c r="P21" i="5"/>
  <c r="P22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I21" i="5"/>
  <c r="I22" i="5" s="1"/>
  <c r="H21" i="5"/>
  <c r="H22" i="5" s="1"/>
  <c r="G21" i="5"/>
  <c r="G22" i="5" s="1"/>
  <c r="F21" i="5"/>
  <c r="F22" i="5" s="1"/>
  <c r="E21" i="5"/>
  <c r="E22" i="5" s="1"/>
  <c r="W20" i="5"/>
  <c r="D20" i="5"/>
  <c r="D21" i="5" s="1"/>
  <c r="D22" i="5" s="1"/>
  <c r="V13" i="6"/>
  <c r="V14" i="6" s="1"/>
  <c r="U13" i="6"/>
  <c r="U14" i="6" s="1"/>
  <c r="T13" i="6"/>
  <c r="T14" i="6" s="1"/>
  <c r="S13" i="6"/>
  <c r="S14" i="6" s="1"/>
  <c r="R13" i="6"/>
  <c r="R14" i="6" s="1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J13" i="6"/>
  <c r="J14" i="6" s="1"/>
  <c r="I13" i="6"/>
  <c r="I14" i="6" s="1"/>
  <c r="H13" i="6"/>
  <c r="H14" i="6" s="1"/>
  <c r="G13" i="6"/>
  <c r="G14" i="6" s="1"/>
  <c r="F13" i="6"/>
  <c r="F14" i="6" s="1"/>
  <c r="E13" i="6"/>
  <c r="E14" i="6" s="1"/>
  <c r="D13" i="6"/>
  <c r="D14" i="6" s="1"/>
  <c r="W12" i="6"/>
  <c r="W13" i="6" s="1"/>
  <c r="W14" i="6" s="1"/>
  <c r="A15" i="5"/>
  <c r="A20" i="5" s="1"/>
  <c r="A25" i="5" s="1"/>
  <c r="A26" i="5" s="1"/>
  <c r="A27" i="5" s="1"/>
  <c r="A28" i="5" s="1"/>
  <c r="A29" i="5" s="1"/>
  <c r="A30" i="5" s="1"/>
  <c r="A31" i="5" s="1"/>
  <c r="A32" i="5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W16" i="5" s="1"/>
  <c r="D15" i="5"/>
  <c r="C42" i="5" l="1"/>
  <c r="W43" i="5"/>
  <c r="C58" i="5"/>
  <c r="I69" i="2" s="1"/>
  <c r="C12" i="6"/>
  <c r="X42" i="5"/>
  <c r="C15" i="5"/>
  <c r="C20" i="5"/>
  <c r="W21" i="5"/>
  <c r="W22" i="5" s="1"/>
  <c r="D16" i="5"/>
  <c r="G153" i="2"/>
  <c r="H153" i="2"/>
  <c r="G138" i="2"/>
  <c r="H138" i="2"/>
  <c r="G80" i="2"/>
  <c r="G81" i="2" s="1"/>
  <c r="H80" i="2"/>
  <c r="H81" i="2" s="1"/>
  <c r="G135" i="2"/>
  <c r="H135" i="2"/>
  <c r="G92" i="2"/>
  <c r="H92" i="2"/>
  <c r="G106" i="2"/>
  <c r="G107" i="2" s="1"/>
  <c r="H106" i="2"/>
  <c r="H107" i="2" s="1"/>
  <c r="H150" i="2" l="1"/>
  <c r="Y12" i="6"/>
  <c r="I24" i="2"/>
  <c r="I25" i="2" s="1"/>
  <c r="G150" i="2"/>
  <c r="C21" i="5"/>
  <c r="C22" i="5" s="1"/>
  <c r="I32" i="2"/>
  <c r="I33" i="2" s="1"/>
  <c r="I34" i="2" s="1"/>
  <c r="C16" i="5"/>
  <c r="I21" i="2"/>
  <c r="I22" i="2" s="1"/>
  <c r="C43" i="5"/>
  <c r="I54" i="2"/>
  <c r="I55" i="2" s="1"/>
  <c r="X12" i="6"/>
  <c r="C13" i="6"/>
  <c r="C14" i="6" s="1"/>
  <c r="L34" i="2" l="1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30" i="4"/>
  <c r="D32" i="4"/>
  <c r="X31" i="4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7" i="5"/>
  <c r="C117" i="5" s="1"/>
  <c r="I152" i="2" s="1"/>
  <c r="D101" i="5"/>
  <c r="C101" i="5" s="1"/>
  <c r="I145" i="2" s="1"/>
  <c r="D100" i="5"/>
  <c r="D99" i="5"/>
  <c r="D98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W93" i="5"/>
  <c r="W94" i="5" s="1"/>
  <c r="D93" i="5"/>
  <c r="D94" i="5" s="1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W90" i="5"/>
  <c r="C90" i="5" s="1"/>
  <c r="X89" i="5"/>
  <c r="X20" i="4"/>
  <c r="W23" i="4"/>
  <c r="W24" i="4" s="1"/>
  <c r="V23" i="4"/>
  <c r="V24" i="4" s="1"/>
  <c r="U23" i="4"/>
  <c r="U24" i="4" s="1"/>
  <c r="T23" i="4"/>
  <c r="T24" i="4" s="1"/>
  <c r="S23" i="4"/>
  <c r="S24" i="4" s="1"/>
  <c r="R23" i="4"/>
  <c r="R24" i="4" s="1"/>
  <c r="Q23" i="4"/>
  <c r="Q24" i="4" s="1"/>
  <c r="P23" i="4"/>
  <c r="P24" i="4" s="1"/>
  <c r="O23" i="4"/>
  <c r="O24" i="4" s="1"/>
  <c r="N23" i="4"/>
  <c r="N24" i="4" s="1"/>
  <c r="M23" i="4"/>
  <c r="M24" i="4" s="1"/>
  <c r="L23" i="4"/>
  <c r="L24" i="4" s="1"/>
  <c r="K23" i="4"/>
  <c r="K24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D22" i="4"/>
  <c r="C22" i="4" s="1"/>
  <c r="X22" i="4" s="1"/>
  <c r="X21" i="4"/>
  <c r="W88" i="5"/>
  <c r="V88" i="5"/>
  <c r="U88" i="5"/>
  <c r="T88" i="5"/>
  <c r="S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R87" i="5"/>
  <c r="C87" i="5" s="1"/>
  <c r="X86" i="5"/>
  <c r="X85" i="5"/>
  <c r="E83" i="5"/>
  <c r="E84" i="5" s="1"/>
  <c r="F83" i="5"/>
  <c r="F84" i="5" s="1"/>
  <c r="G83" i="5"/>
  <c r="G84" i="5" s="1"/>
  <c r="H83" i="5"/>
  <c r="H84" i="5" s="1"/>
  <c r="I83" i="5"/>
  <c r="I84" i="5" s="1"/>
  <c r="J83" i="5"/>
  <c r="J84" i="5" s="1"/>
  <c r="K83" i="5"/>
  <c r="K84" i="5" s="1"/>
  <c r="L83" i="5"/>
  <c r="L84" i="5" s="1"/>
  <c r="M83" i="5"/>
  <c r="M84" i="5" s="1"/>
  <c r="N83" i="5"/>
  <c r="N84" i="5" s="1"/>
  <c r="O83" i="5"/>
  <c r="O84" i="5" s="1"/>
  <c r="P83" i="5"/>
  <c r="P84" i="5" s="1"/>
  <c r="Q83" i="5"/>
  <c r="Q84" i="5" s="1"/>
  <c r="R83" i="5"/>
  <c r="R84" i="5" s="1"/>
  <c r="S83" i="5"/>
  <c r="S84" i="5" s="1"/>
  <c r="T83" i="5"/>
  <c r="T84" i="5" s="1"/>
  <c r="U83" i="5"/>
  <c r="U84" i="5" s="1"/>
  <c r="V83" i="5"/>
  <c r="V84" i="5" s="1"/>
  <c r="W82" i="5"/>
  <c r="W83" i="5" s="1"/>
  <c r="W84" i="5" s="1"/>
  <c r="D82" i="5"/>
  <c r="D83" i="5" s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3" i="6"/>
  <c r="I91" i="2" s="1"/>
  <c r="W22" i="6"/>
  <c r="C22" i="6" s="1"/>
  <c r="W21" i="6"/>
  <c r="C21" i="6" s="1"/>
  <c r="I88" i="2" s="1"/>
  <c r="W19" i="6"/>
  <c r="C19" i="6" s="1"/>
  <c r="I86" i="2" s="1"/>
  <c r="X25" i="4"/>
  <c r="X15" i="4"/>
  <c r="W18" i="4"/>
  <c r="W19" i="4" s="1"/>
  <c r="V18" i="4"/>
  <c r="V19" i="4" s="1"/>
  <c r="U18" i="4"/>
  <c r="U19" i="4" s="1"/>
  <c r="T18" i="4"/>
  <c r="T19" i="4" s="1"/>
  <c r="S18" i="4"/>
  <c r="S19" i="4" s="1"/>
  <c r="R18" i="4"/>
  <c r="R19" i="4" s="1"/>
  <c r="Q18" i="4"/>
  <c r="Q19" i="4" s="1"/>
  <c r="P18" i="4"/>
  <c r="P19" i="4" s="1"/>
  <c r="O18" i="4"/>
  <c r="O19" i="4" s="1"/>
  <c r="M18" i="4"/>
  <c r="M19" i="4" s="1"/>
  <c r="L18" i="4"/>
  <c r="L19" i="4" s="1"/>
  <c r="K18" i="4"/>
  <c r="K19" i="4" s="1"/>
  <c r="J18" i="4"/>
  <c r="J19" i="4" s="1"/>
  <c r="I18" i="4"/>
  <c r="I19" i="4" s="1"/>
  <c r="H18" i="4"/>
  <c r="H19" i="4" s="1"/>
  <c r="G18" i="4"/>
  <c r="G19" i="4" s="1"/>
  <c r="F18" i="4"/>
  <c r="F19" i="4" s="1"/>
  <c r="E18" i="4"/>
  <c r="E19" i="4" s="1"/>
  <c r="D18" i="4"/>
  <c r="D19" i="4" s="1"/>
  <c r="N17" i="4"/>
  <c r="C17" i="4" s="1"/>
  <c r="I79" i="2" s="1"/>
  <c r="I80" i="2" s="1"/>
  <c r="I81" i="2" s="1"/>
  <c r="X16" i="4"/>
  <c r="D23" i="4" l="1"/>
  <c r="D24" i="4" s="1"/>
  <c r="E106" i="5"/>
  <c r="I106" i="5"/>
  <c r="Q106" i="5"/>
  <c r="V106" i="5"/>
  <c r="C32" i="4"/>
  <c r="C72" i="4" s="1"/>
  <c r="D72" i="4"/>
  <c r="N18" i="4"/>
  <c r="N19" i="4" s="1"/>
  <c r="T106" i="5"/>
  <c r="U106" i="5"/>
  <c r="S106" i="5"/>
  <c r="F106" i="5"/>
  <c r="J106" i="5"/>
  <c r="N106" i="5"/>
  <c r="I130" i="2"/>
  <c r="I132" i="2" s="1"/>
  <c r="K106" i="5"/>
  <c r="O106" i="5"/>
  <c r="X32" i="4"/>
  <c r="I213" i="2"/>
  <c r="G106" i="5"/>
  <c r="H106" i="5"/>
  <c r="L106" i="5"/>
  <c r="P106" i="5"/>
  <c r="M106" i="5"/>
  <c r="Y23" i="6"/>
  <c r="D102" i="5"/>
  <c r="D106" i="5" s="1"/>
  <c r="X90" i="5"/>
  <c r="I134" i="2"/>
  <c r="X23" i="6"/>
  <c r="I89" i="2"/>
  <c r="Y22" i="6"/>
  <c r="X22" i="6"/>
  <c r="Y21" i="6"/>
  <c r="C23" i="4"/>
  <c r="W118" i="5"/>
  <c r="X117" i="5"/>
  <c r="C100" i="5"/>
  <c r="I144" i="2" s="1"/>
  <c r="C93" i="5"/>
  <c r="C99" i="5"/>
  <c r="C91" i="5"/>
  <c r="W91" i="5"/>
  <c r="W106" i="5" s="1"/>
  <c r="C88" i="5"/>
  <c r="X87" i="5"/>
  <c r="R88" i="5"/>
  <c r="R106" i="5" s="1"/>
  <c r="C82" i="5"/>
  <c r="Y19" i="6"/>
  <c r="X19" i="6"/>
  <c r="X21" i="6"/>
  <c r="C18" i="4"/>
  <c r="X17" i="4"/>
  <c r="I214" i="2" l="1"/>
  <c r="X72" i="4"/>
  <c r="D73" i="4"/>
  <c r="L213" i="2"/>
  <c r="C73" i="4"/>
  <c r="C102" i="5"/>
  <c r="C83" i="5"/>
  <c r="I105" i="2"/>
  <c r="C94" i="5"/>
  <c r="I137" i="2"/>
  <c r="I135" i="2"/>
  <c r="I143" i="2"/>
  <c r="I146" i="2" s="1"/>
  <c r="I153" i="2"/>
  <c r="C118" i="5"/>
  <c r="X23" i="4"/>
  <c r="C24" i="4"/>
  <c r="X24" i="4" s="1"/>
  <c r="X18" i="4"/>
  <c r="C19" i="4"/>
  <c r="X19" i="4" s="1"/>
  <c r="C106" i="5" l="1"/>
  <c r="L153" i="2"/>
  <c r="I138" i="2"/>
  <c r="I150" i="2" s="1"/>
  <c r="L150" i="2" s="1"/>
  <c r="I106" i="2"/>
  <c r="AD57" i="5"/>
  <c r="W57" i="5" s="1"/>
  <c r="D57" i="5"/>
  <c r="W56" i="5"/>
  <c r="D56" i="5"/>
  <c r="W55" i="5"/>
  <c r="E55" i="5"/>
  <c r="D55" i="5" s="1"/>
  <c r="W53" i="5"/>
  <c r="D53" i="5"/>
  <c r="D50" i="5"/>
  <c r="W49" i="5"/>
  <c r="D49" i="5"/>
  <c r="W32" i="5"/>
  <c r="W35" i="5" s="1"/>
  <c r="W44" i="5" s="1"/>
  <c r="D32" i="5"/>
  <c r="C49" i="5" l="1"/>
  <c r="C32" i="5"/>
  <c r="C56" i="5"/>
  <c r="I68" i="2" s="1"/>
  <c r="C57" i="5"/>
  <c r="I70" i="2" s="1"/>
  <c r="C53" i="5"/>
  <c r="I65" i="2" s="1"/>
  <c r="C55" i="5"/>
  <c r="I67" i="2" s="1"/>
  <c r="I42" i="2"/>
  <c r="I61" i="2"/>
  <c r="C50" i="5"/>
  <c r="I62" i="2" s="1"/>
  <c r="G56" i="2"/>
  <c r="G161" i="2"/>
  <c r="G93" i="2"/>
  <c r="G75" i="2"/>
  <c r="G76" i="2" s="1"/>
  <c r="H56" i="2"/>
  <c r="F69" i="5" l="1"/>
  <c r="F70" i="5" s="1"/>
  <c r="G69" i="5"/>
  <c r="G70" i="5" s="1"/>
  <c r="H69" i="5"/>
  <c r="H70" i="5" s="1"/>
  <c r="I69" i="5"/>
  <c r="I70" i="5" s="1"/>
  <c r="J69" i="5"/>
  <c r="J70" i="5" s="1"/>
  <c r="K69" i="5"/>
  <c r="K70" i="5" s="1"/>
  <c r="L69" i="5"/>
  <c r="L70" i="5" s="1"/>
  <c r="M69" i="5"/>
  <c r="M70" i="5" s="1"/>
  <c r="N69" i="5"/>
  <c r="N70" i="5" s="1"/>
  <c r="O69" i="5"/>
  <c r="O70" i="5" s="1"/>
  <c r="P69" i="5"/>
  <c r="P70" i="5" s="1"/>
  <c r="Q69" i="5"/>
  <c r="Q70" i="5" s="1"/>
  <c r="R69" i="5"/>
  <c r="R70" i="5" s="1"/>
  <c r="S69" i="5"/>
  <c r="S70" i="5" s="1"/>
  <c r="T69" i="5"/>
  <c r="T70" i="5" s="1"/>
  <c r="U69" i="5"/>
  <c r="U70" i="5" s="1"/>
  <c r="V69" i="5"/>
  <c r="V70" i="5" s="1"/>
  <c r="W69" i="5"/>
  <c r="W70" i="5" s="1"/>
  <c r="D68" i="5"/>
  <c r="C68" i="5" s="1"/>
  <c r="I90" i="2" s="1"/>
  <c r="D30" i="5"/>
  <c r="C30" i="5" s="1"/>
  <c r="I44" i="2" l="1"/>
  <c r="A59" i="2" l="1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A60" i="2" l="1"/>
  <c r="X15" i="6"/>
  <c r="X16" i="6"/>
  <c r="F114" i="5"/>
  <c r="F115" i="5" s="1"/>
  <c r="G114" i="5"/>
  <c r="G115" i="5" s="1"/>
  <c r="H114" i="5"/>
  <c r="H115" i="5" s="1"/>
  <c r="I114" i="5"/>
  <c r="I115" i="5" s="1"/>
  <c r="J114" i="5"/>
  <c r="J115" i="5" s="1"/>
  <c r="K114" i="5"/>
  <c r="K115" i="5" s="1"/>
  <c r="L114" i="5"/>
  <c r="L115" i="5" s="1"/>
  <c r="M114" i="5"/>
  <c r="M115" i="5" s="1"/>
  <c r="O114" i="5"/>
  <c r="O115" i="5" s="1"/>
  <c r="Q114" i="5"/>
  <c r="Q115" i="5" s="1"/>
  <c r="R114" i="5"/>
  <c r="R115" i="5" s="1"/>
  <c r="S114" i="5"/>
  <c r="S115" i="5" s="1"/>
  <c r="T114" i="5"/>
  <c r="T115" i="5" s="1"/>
  <c r="U114" i="5"/>
  <c r="U115" i="5" s="1"/>
  <c r="V114" i="5"/>
  <c r="V115" i="5" s="1"/>
  <c r="H63" i="5"/>
  <c r="H64" i="5" s="1"/>
  <c r="J63" i="5"/>
  <c r="J64" i="5" s="1"/>
  <c r="K63" i="5"/>
  <c r="K64" i="5" s="1"/>
  <c r="L63" i="5"/>
  <c r="L64" i="5" s="1"/>
  <c r="M63" i="5"/>
  <c r="M64" i="5" s="1"/>
  <c r="O63" i="5"/>
  <c r="O64" i="5" s="1"/>
  <c r="Q63" i="5"/>
  <c r="Q64" i="5" s="1"/>
  <c r="R63" i="5"/>
  <c r="R64" i="5" s="1"/>
  <c r="S63" i="5"/>
  <c r="S64" i="5" s="1"/>
  <c r="T63" i="5"/>
  <c r="T64" i="5" s="1"/>
  <c r="V63" i="5"/>
  <c r="V64" i="5" s="1"/>
  <c r="E13" i="5"/>
  <c r="E17" i="5" s="1"/>
  <c r="H13" i="5"/>
  <c r="H17" i="5" s="1"/>
  <c r="J13" i="5"/>
  <c r="J17" i="5" s="1"/>
  <c r="K13" i="5"/>
  <c r="K17" i="5" s="1"/>
  <c r="L13" i="5"/>
  <c r="L17" i="5" s="1"/>
  <c r="M13" i="5"/>
  <c r="M17" i="5" s="1"/>
  <c r="N13" i="5"/>
  <c r="N17" i="5" s="1"/>
  <c r="O13" i="5"/>
  <c r="O17" i="5" s="1"/>
  <c r="P13" i="5"/>
  <c r="P17" i="5" s="1"/>
  <c r="Q13" i="5"/>
  <c r="Q17" i="5" s="1"/>
  <c r="R13" i="5"/>
  <c r="R17" i="5" s="1"/>
  <c r="S13" i="5"/>
  <c r="S17" i="5" s="1"/>
  <c r="T13" i="5"/>
  <c r="T17" i="5" s="1"/>
  <c r="U13" i="5"/>
  <c r="U17" i="5" s="1"/>
  <c r="V13" i="5"/>
  <c r="V17" i="5" s="1"/>
  <c r="E28" i="4"/>
  <c r="E29" i="4" s="1"/>
  <c r="E74" i="4" s="1"/>
  <c r="F28" i="4"/>
  <c r="F29" i="4" s="1"/>
  <c r="F74" i="4" s="1"/>
  <c r="G28" i="4"/>
  <c r="G29" i="4" s="1"/>
  <c r="G74" i="4" s="1"/>
  <c r="H28" i="4"/>
  <c r="I28" i="4"/>
  <c r="I29" i="4" s="1"/>
  <c r="I74" i="4" s="1"/>
  <c r="J28" i="4"/>
  <c r="J29" i="4" s="1"/>
  <c r="J74" i="4" s="1"/>
  <c r="K28" i="4"/>
  <c r="K29" i="4" s="1"/>
  <c r="K74" i="4" s="1"/>
  <c r="L28" i="4"/>
  <c r="L29" i="4" s="1"/>
  <c r="L74" i="4" s="1"/>
  <c r="M28" i="4"/>
  <c r="M29" i="4" s="1"/>
  <c r="M74" i="4" s="1"/>
  <c r="N28" i="4"/>
  <c r="N29" i="4" s="1"/>
  <c r="N74" i="4" s="1"/>
  <c r="O28" i="4"/>
  <c r="O29" i="4" s="1"/>
  <c r="O74" i="4" s="1"/>
  <c r="P28" i="4"/>
  <c r="P29" i="4" s="1"/>
  <c r="P74" i="4" s="1"/>
  <c r="Q28" i="4"/>
  <c r="Q29" i="4" s="1"/>
  <c r="Q74" i="4" s="1"/>
  <c r="R28" i="4"/>
  <c r="R29" i="4" s="1"/>
  <c r="R74" i="4" s="1"/>
  <c r="S28" i="4"/>
  <c r="S29" i="4" s="1"/>
  <c r="S74" i="4" s="1"/>
  <c r="T28" i="4"/>
  <c r="T29" i="4" s="1"/>
  <c r="T74" i="4" s="1"/>
  <c r="U28" i="4"/>
  <c r="U29" i="4" s="1"/>
  <c r="U74" i="4" s="1"/>
  <c r="V28" i="4"/>
  <c r="V29" i="4" s="1"/>
  <c r="V74" i="4" s="1"/>
  <c r="W28" i="4"/>
  <c r="W29" i="4" s="1"/>
  <c r="W74" i="4" s="1"/>
  <c r="H29" i="4"/>
  <c r="H74" i="4" s="1"/>
  <c r="X26" i="4"/>
  <c r="X77" i="4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H93" i="2"/>
  <c r="H19" i="2"/>
  <c r="H26" i="2" s="1"/>
  <c r="G19" i="2"/>
  <c r="G26" i="2" s="1"/>
  <c r="H161" i="2"/>
  <c r="H162" i="2" s="1"/>
  <c r="G162" i="2"/>
  <c r="G215" i="2" l="1"/>
  <c r="K130" i="5"/>
  <c r="S130" i="5"/>
  <c r="V130" i="5"/>
  <c r="R130" i="5"/>
  <c r="L130" i="5"/>
  <c r="H130" i="5"/>
  <c r="M130" i="5"/>
  <c r="Q130" i="5"/>
  <c r="T130" i="5"/>
  <c r="O130" i="5"/>
  <c r="J130" i="5"/>
  <c r="A61" i="2"/>
  <c r="A62" i="2" s="1"/>
  <c r="A63" i="2" s="1"/>
  <c r="A64" i="2" s="1"/>
  <c r="A65" i="2" s="1"/>
  <c r="A66" i="2" s="1"/>
  <c r="A67" i="2" s="1"/>
  <c r="A68" i="2" s="1"/>
  <c r="A33" i="5"/>
  <c r="A34" i="5" s="1"/>
  <c r="A37" i="5" s="1"/>
  <c r="C30" i="7"/>
  <c r="C26" i="7"/>
  <c r="AG56" i="6"/>
  <c r="AC24" i="6"/>
  <c r="W24" i="6"/>
  <c r="C17" i="6"/>
  <c r="Y16" i="6"/>
  <c r="Y15" i="6"/>
  <c r="D121" i="5"/>
  <c r="W113" i="5"/>
  <c r="D113" i="5"/>
  <c r="P114" i="5"/>
  <c r="P115" i="5" s="1"/>
  <c r="W109" i="5"/>
  <c r="D79" i="5"/>
  <c r="C79" i="5" s="1"/>
  <c r="I102" i="2" s="1"/>
  <c r="D78" i="5"/>
  <c r="C78" i="5" s="1"/>
  <c r="I101" i="2" s="1"/>
  <c r="D77" i="5"/>
  <c r="E67" i="5"/>
  <c r="E69" i="5" s="1"/>
  <c r="E70" i="5" s="1"/>
  <c r="W62" i="5"/>
  <c r="D62" i="5"/>
  <c r="W61" i="5"/>
  <c r="D61" i="5"/>
  <c r="W60" i="5"/>
  <c r="D60" i="5"/>
  <c r="W59" i="5"/>
  <c r="D59" i="5"/>
  <c r="I63" i="5"/>
  <c r="I64" i="5" s="1"/>
  <c r="W54" i="5"/>
  <c r="D54" i="5"/>
  <c r="P63" i="5"/>
  <c r="P64" i="5" s="1"/>
  <c r="W52" i="5"/>
  <c r="D52" i="5"/>
  <c r="D51" i="5"/>
  <c r="D48" i="5"/>
  <c r="C48" i="5" s="1"/>
  <c r="I60" i="2" s="1"/>
  <c r="D47" i="5"/>
  <c r="D33" i="5"/>
  <c r="D28" i="5"/>
  <c r="C28" i="5" s="1"/>
  <c r="D25" i="5"/>
  <c r="F13" i="5"/>
  <c r="F17" i="5" s="1"/>
  <c r="D12" i="5"/>
  <c r="I13" i="5"/>
  <c r="I17" i="5" s="1"/>
  <c r="D27" i="4"/>
  <c r="I130" i="5" l="1"/>
  <c r="P130" i="5"/>
  <c r="C77" i="5"/>
  <c r="C80" i="5" s="1"/>
  <c r="C84" i="5" s="1"/>
  <c r="D80" i="5"/>
  <c r="D84" i="5" s="1"/>
  <c r="C25" i="5"/>
  <c r="D35" i="5"/>
  <c r="D44" i="5" s="1"/>
  <c r="D122" i="5"/>
  <c r="D123" i="5" s="1"/>
  <c r="C121" i="5"/>
  <c r="C122" i="5" s="1"/>
  <c r="A69" i="2"/>
  <c r="A70" i="2" s="1"/>
  <c r="A71" i="2" s="1"/>
  <c r="A72" i="2" s="1"/>
  <c r="A73" i="2" s="1"/>
  <c r="A74" i="2" s="1"/>
  <c r="X17" i="6"/>
  <c r="C27" i="4"/>
  <c r="C28" i="4" s="1"/>
  <c r="C29" i="4" s="1"/>
  <c r="D28" i="4"/>
  <c r="D29" i="4" s="1"/>
  <c r="D74" i="4" s="1"/>
  <c r="I40" i="2"/>
  <c r="D67" i="5"/>
  <c r="C12" i="5"/>
  <c r="C33" i="5"/>
  <c r="I41" i="2" s="1"/>
  <c r="N114" i="5"/>
  <c r="N115" i="5" s="1"/>
  <c r="W25" i="6"/>
  <c r="W13" i="5"/>
  <c r="W17" i="5" s="1"/>
  <c r="W63" i="5"/>
  <c r="W64" i="5" s="1"/>
  <c r="G63" i="5"/>
  <c r="G64" i="5" s="1"/>
  <c r="G130" i="5" s="1"/>
  <c r="W114" i="5"/>
  <c r="W115" i="5" s="1"/>
  <c r="G13" i="5"/>
  <c r="G17" i="5" s="1"/>
  <c r="C47" i="5"/>
  <c r="U63" i="5"/>
  <c r="U64" i="5" s="1"/>
  <c r="U130" i="5" s="1"/>
  <c r="E63" i="5"/>
  <c r="E64" i="5" s="1"/>
  <c r="F63" i="5"/>
  <c r="F64" i="5" s="1"/>
  <c r="F130" i="5" s="1"/>
  <c r="N63" i="5"/>
  <c r="N64" i="5" s="1"/>
  <c r="E114" i="5"/>
  <c r="E115" i="5" s="1"/>
  <c r="Y17" i="6"/>
  <c r="C54" i="5"/>
  <c r="I66" i="2" s="1"/>
  <c r="AF56" i="6"/>
  <c r="C18" i="6"/>
  <c r="X18" i="6" s="1"/>
  <c r="C113" i="5"/>
  <c r="I160" i="2" s="1"/>
  <c r="C109" i="5"/>
  <c r="C60" i="5"/>
  <c r="I72" i="2" s="1"/>
  <c r="C51" i="5"/>
  <c r="I63" i="2" s="1"/>
  <c r="C52" i="5"/>
  <c r="I64" i="2" s="1"/>
  <c r="C61" i="5"/>
  <c r="I73" i="2" s="1"/>
  <c r="C62" i="5"/>
  <c r="I74" i="2" s="1"/>
  <c r="C59" i="5"/>
  <c r="I71" i="2" s="1"/>
  <c r="AC25" i="6"/>
  <c r="AD56" i="6"/>
  <c r="AE56" i="6"/>
  <c r="I100" i="2" l="1"/>
  <c r="I103" i="2" s="1"/>
  <c r="I107" i="2" s="1"/>
  <c r="E130" i="5"/>
  <c r="N130" i="5"/>
  <c r="C74" i="4"/>
  <c r="C75" i="4" s="1"/>
  <c r="C63" i="5"/>
  <c r="C64" i="5" s="1"/>
  <c r="D69" i="5"/>
  <c r="D70" i="5" s="1"/>
  <c r="C67" i="5"/>
  <c r="C69" i="5" s="1"/>
  <c r="C24" i="6"/>
  <c r="C25" i="6" s="1"/>
  <c r="C57" i="6" s="1"/>
  <c r="C123" i="5"/>
  <c r="A79" i="2"/>
  <c r="A84" i="2" s="1"/>
  <c r="A85" i="2" s="1"/>
  <c r="A86" i="2" s="1"/>
  <c r="X27" i="4"/>
  <c r="I156" i="2"/>
  <c r="C114" i="5"/>
  <c r="C115" i="5" s="1"/>
  <c r="I37" i="2"/>
  <c r="I18" i="2"/>
  <c r="I165" i="2"/>
  <c r="I166" i="2" s="1"/>
  <c r="D63" i="5"/>
  <c r="D64" i="5" s="1"/>
  <c r="I59" i="2"/>
  <c r="I75" i="2" s="1"/>
  <c r="D13" i="5"/>
  <c r="D17" i="5" s="1"/>
  <c r="D114" i="5"/>
  <c r="D115" i="5" s="1"/>
  <c r="D10" i="7"/>
  <c r="Y18" i="6"/>
  <c r="I85" i="2"/>
  <c r="AC56" i="6"/>
  <c r="E13" i="7"/>
  <c r="E18" i="7"/>
  <c r="D18" i="7"/>
  <c r="D130" i="5" l="1"/>
  <c r="L107" i="2"/>
  <c r="L166" i="2"/>
  <c r="A87" i="2"/>
  <c r="A88" i="2" s="1"/>
  <c r="A89" i="2" s="1"/>
  <c r="A90" i="2" s="1"/>
  <c r="A91" i="2" s="1"/>
  <c r="A96" i="2" s="1"/>
  <c r="C70" i="5"/>
  <c r="I76" i="2"/>
  <c r="L76" i="2" s="1"/>
  <c r="I84" i="2"/>
  <c r="X24" i="6"/>
  <c r="X28" i="4"/>
  <c r="E14" i="7"/>
  <c r="E7" i="7"/>
  <c r="E9" i="7"/>
  <c r="E15" i="7"/>
  <c r="E12" i="7"/>
  <c r="E8" i="7"/>
  <c r="E20" i="7"/>
  <c r="C13" i="5"/>
  <c r="C17" i="5" s="1"/>
  <c r="E10" i="7"/>
  <c r="X25" i="6"/>
  <c r="I161" i="2"/>
  <c r="I162" i="2" s="1"/>
  <c r="L162" i="2" s="1"/>
  <c r="F18" i="7"/>
  <c r="C18" i="7" s="1"/>
  <c r="D21" i="7"/>
  <c r="D20" i="7"/>
  <c r="D6" i="7"/>
  <c r="D5" i="7"/>
  <c r="Y24" i="6"/>
  <c r="E4" i="7"/>
  <c r="D4" i="7"/>
  <c r="E19" i="7"/>
  <c r="D14" i="7"/>
  <c r="D11" i="7"/>
  <c r="E5" i="7"/>
  <c r="D17" i="7"/>
  <c r="E16" i="7"/>
  <c r="E11" i="7"/>
  <c r="A100" i="2" l="1"/>
  <c r="A101" i="2" s="1"/>
  <c r="I92" i="2"/>
  <c r="I93" i="2" s="1"/>
  <c r="L93" i="2" s="1"/>
  <c r="X106" i="5"/>
  <c r="D7" i="7"/>
  <c r="X29" i="4"/>
  <c r="D19" i="7"/>
  <c r="D12" i="7"/>
  <c r="X56" i="6"/>
  <c r="D13" i="7"/>
  <c r="D16" i="7"/>
  <c r="D9" i="7"/>
  <c r="I19" i="2"/>
  <c r="I26" i="2" s="1"/>
  <c r="L26" i="2" s="1"/>
  <c r="D8" i="7"/>
  <c r="E17" i="7"/>
  <c r="E21" i="7"/>
  <c r="F19" i="7"/>
  <c r="F9" i="7"/>
  <c r="F15" i="7"/>
  <c r="F7" i="7"/>
  <c r="F14" i="7"/>
  <c r="C14" i="7" s="1"/>
  <c r="G18" i="7"/>
  <c r="F20" i="7"/>
  <c r="C20" i="7" s="1"/>
  <c r="F17" i="7"/>
  <c r="F12" i="7"/>
  <c r="F16" i="7"/>
  <c r="F5" i="7"/>
  <c r="C5" i="7" s="1"/>
  <c r="F21" i="7"/>
  <c r="F11" i="7"/>
  <c r="C11" i="7" s="1"/>
  <c r="Y25" i="6"/>
  <c r="F4" i="7"/>
  <c r="F13" i="7"/>
  <c r="F8" i="7"/>
  <c r="C8" i="7" s="1"/>
  <c r="C9" i="7" l="1"/>
  <c r="G9" i="7" s="1"/>
  <c r="E6" i="7"/>
  <c r="C12" i="7"/>
  <c r="G12" i="7" s="1"/>
  <c r="C16" i="7"/>
  <c r="G16" i="7" s="1"/>
  <c r="C19" i="7"/>
  <c r="G19" i="7" s="1"/>
  <c r="C13" i="7"/>
  <c r="G13" i="7" s="1"/>
  <c r="C7" i="7"/>
  <c r="G7" i="7" s="1"/>
  <c r="C17" i="7"/>
  <c r="E24" i="7"/>
  <c r="G14" i="7"/>
  <c r="G5" i="7"/>
  <c r="F6" i="7"/>
  <c r="G20" i="7"/>
  <c r="C4" i="7"/>
  <c r="G4" i="7" s="1"/>
  <c r="G11" i="7"/>
  <c r="C21" i="7"/>
  <c r="G21" i="7" s="1"/>
  <c r="C6" i="7" l="1"/>
  <c r="G6" i="7" s="1"/>
  <c r="G17" i="7"/>
  <c r="X74" i="4" l="1"/>
  <c r="D15" i="7"/>
  <c r="C15" i="7" s="1"/>
  <c r="D24" i="7" l="1"/>
  <c r="X75" i="4"/>
  <c r="A18" i="6" l="1"/>
  <c r="A19" i="6" s="1"/>
  <c r="C76" i="4"/>
  <c r="I220" i="2" s="1"/>
  <c r="G15" i="7"/>
  <c r="A20" i="6" l="1"/>
  <c r="A21" i="6" s="1"/>
  <c r="A22" i="6" s="1"/>
  <c r="A23" i="6" s="1"/>
  <c r="D29" i="7"/>
  <c r="D31" i="7" s="1"/>
  <c r="X76" i="4"/>
  <c r="A36" i="6" l="1"/>
  <c r="A37" i="6" s="1"/>
  <c r="A38" i="6" s="1"/>
  <c r="A39" i="6" s="1"/>
  <c r="A42" i="6" s="1"/>
  <c r="A43" i="6" s="1"/>
  <c r="A44" i="6" s="1"/>
  <c r="A28" i="6"/>
  <c r="F10" i="7"/>
  <c r="C10" i="7" l="1"/>
  <c r="F24" i="7"/>
  <c r="Y56" i="6"/>
  <c r="X57" i="6" l="1"/>
  <c r="G10" i="7"/>
  <c r="C24" i="7"/>
  <c r="G24" i="7" s="1"/>
  <c r="C58" i="6"/>
  <c r="I222" i="2" s="1"/>
  <c r="X65" i="6" l="1"/>
  <c r="F29" i="7"/>
  <c r="F31" i="7" l="1"/>
  <c r="A102" i="2" l="1"/>
  <c r="A105" i="2" s="1"/>
  <c r="A110" i="2" s="1"/>
  <c r="A113" i="2" s="1"/>
  <c r="A114" i="2" s="1"/>
  <c r="A115" i="2" s="1"/>
  <c r="A116" i="2" s="1"/>
  <c r="B24" i="7" l="1"/>
  <c r="H75" i="2" l="1"/>
  <c r="H76" i="2" s="1"/>
  <c r="H215" i="2" s="1"/>
  <c r="A45" i="6" l="1"/>
  <c r="A46" i="6" s="1"/>
  <c r="A47" i="6" s="1"/>
  <c r="A48" i="6" s="1"/>
  <c r="A222" i="2" l="1"/>
  <c r="A53" i="6"/>
  <c r="A119" i="2" l="1"/>
  <c r="A120" i="2" s="1"/>
  <c r="A121" i="2" s="1"/>
  <c r="A122" i="2" s="1"/>
  <c r="A123" i="2" s="1"/>
  <c r="A124" i="2" s="1"/>
  <c r="A125" i="2" s="1"/>
  <c r="A130" i="2" l="1"/>
  <c r="A131" i="2" l="1"/>
  <c r="A134" i="2" s="1"/>
  <c r="A137" i="2" s="1"/>
  <c r="A140" i="2" s="1"/>
  <c r="A143" i="2" s="1"/>
  <c r="A144" i="2" s="1"/>
  <c r="A145" i="2" s="1"/>
  <c r="A148" i="2" s="1"/>
  <c r="A152" i="2" s="1"/>
  <c r="A156" i="2" s="1"/>
  <c r="C26" i="5"/>
  <c r="C27" i="5"/>
  <c r="I39" i="2" s="1"/>
  <c r="C29" i="5"/>
  <c r="I43" i="2" s="1"/>
  <c r="W130" i="5"/>
  <c r="C31" i="5"/>
  <c r="I45" i="2" s="1"/>
  <c r="I38" i="2" l="1"/>
  <c r="C35" i="5"/>
  <c r="A157" i="2"/>
  <c r="C44" i="5" l="1"/>
  <c r="C130" i="5" s="1"/>
  <c r="C131" i="5" s="1"/>
  <c r="I216" i="2" s="1"/>
  <c r="I47" i="2"/>
  <c r="I56" i="2" s="1"/>
  <c r="M56" i="2" s="1"/>
  <c r="A158" i="2"/>
  <c r="L56" i="2" l="1"/>
  <c r="A159" i="2"/>
  <c r="A160" i="2" s="1"/>
  <c r="A165" i="2" s="1"/>
  <c r="A169" i="2" s="1"/>
  <c r="A170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G8" i="7"/>
  <c r="C132" i="5"/>
  <c r="I215" i="2" l="1"/>
  <c r="L215" i="2" s="1"/>
  <c r="E29" i="7"/>
  <c r="C29" i="7" s="1"/>
  <c r="C31" i="7" s="1"/>
  <c r="I221" i="2"/>
  <c r="I223" i="2" s="1"/>
  <c r="I217" i="2" l="1"/>
  <c r="L217" i="2" s="1"/>
  <c r="E31" i="7"/>
  <c r="I225" i="2" l="1"/>
  <c r="A38" i="5"/>
  <c r="A39" i="5" s="1"/>
  <c r="A42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7" i="5" s="1"/>
  <c r="A68" i="5" s="1"/>
  <c r="A73" i="5" s="1"/>
  <c r="A77" i="5" s="1"/>
  <c r="A78" i="5" s="1"/>
  <c r="A79" i="5" s="1"/>
  <c r="A82" i="5" s="1"/>
  <c r="A87" i="5" s="1"/>
  <c r="A90" i="5" s="1"/>
  <c r="A93" i="5" s="1"/>
  <c r="A96" i="5" s="1"/>
  <c r="A99" i="5" s="1"/>
  <c r="A100" i="5" s="1"/>
  <c r="A101" i="5" s="1"/>
  <c r="A104" i="5" s="1"/>
  <c r="A109" i="5" s="1"/>
  <c r="A110" i="5" s="1"/>
  <c r="A111" i="5" s="1"/>
  <c r="A112" i="5" s="1"/>
  <c r="A113" i="5" s="1"/>
  <c r="A117" i="5" s="1"/>
  <c r="A121" i="5" s="1"/>
  <c r="A126" i="5" l="1"/>
  <c r="A127" i="5" s="1"/>
  <c r="A221" i="2"/>
  <c r="A223" i="2" s="1"/>
</calcChain>
</file>

<file path=xl/sharedStrings.xml><?xml version="1.0" encoding="utf-8"?>
<sst xmlns="http://schemas.openxmlformats.org/spreadsheetml/2006/main" count="1164" uniqueCount="318">
  <si>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</si>
  <si>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</si>
  <si>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</si>
  <si>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</si>
  <si>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</si>
  <si>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</si>
  <si>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</si>
  <si>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</si>
  <si>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</si>
  <si>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</si>
  <si>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</si>
  <si>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</si>
  <si>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</si>
  <si>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</si>
  <si>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</si>
  <si>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</si>
  <si>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</si>
  <si>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</si>
  <si>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</si>
  <si>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</si>
  <si>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</si>
  <si>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</si>
  <si>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</si>
  <si>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</si>
  <si>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</si>
  <si>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</si>
  <si>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</si>
  <si>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</si>
  <si>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</si>
  <si>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</si>
  <si>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</si>
  <si>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</si>
  <si>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</si>
  <si>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</si>
  <si>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</si>
  <si>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</si>
  <si>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Город Волхов</t>
  </si>
  <si>
    <t>Г. Волхов, ул. Молодежная, д. 23б</t>
  </si>
  <si>
    <t>Выборгский район</t>
  </si>
  <si>
    <t>Муниципальное образование Город Выборг</t>
  </si>
  <si>
    <t xml:space="preserve">Г. Выборг, бул. Кутузова, д. 16  </t>
  </si>
  <si>
    <t>Г. Выборг, ул. Большая Каменная, д. 3в</t>
  </si>
  <si>
    <t>Г. Выборг, ул. Гагарина, д. 29а</t>
  </si>
  <si>
    <t>Итого по Выборгскому району</t>
  </si>
  <si>
    <t>Гатчинский муниципальный район</t>
  </si>
  <si>
    <t>ЭС, фасад с утепл.</t>
  </si>
  <si>
    <t>Муниципальное образование Город Гатчина</t>
  </si>
  <si>
    <t>Г. Гатчина, бул. Авиаторов, д. 3</t>
  </si>
  <si>
    <t>нет данных ( м3 или м2)по подвалу</t>
  </si>
  <si>
    <t>Г. Гатчина, бул. Авиаторов, д. 3, кор. 2</t>
  </si>
  <si>
    <t>ЭС</t>
  </si>
  <si>
    <t>Г. Гатчина, просп. 25 Октября, д. 53</t>
  </si>
  <si>
    <t>ЭС, ТС,ХВС</t>
  </si>
  <si>
    <t>Г. Гатчина, ул. Володарского, д. 30</t>
  </si>
  <si>
    <t>ЭС. Фасад с утеплением.</t>
  </si>
  <si>
    <t>Г. Гатчина, ул. Крупской, д. 5</t>
  </si>
  <si>
    <t>ХВС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</si>
  <si>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</si>
  <si>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</si>
  <si>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</si>
  <si>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</si>
  <si>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</si>
  <si>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</si>
  <si>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</si>
  <si>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</si>
  <si>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</si>
  <si>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Итого по Кировскому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</si>
  <si>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</si>
  <si>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</si>
  <si>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Разбегаево, д. 51</t>
  </si>
  <si>
    <t>Дер. Разбегаево, д. 53</t>
  </si>
  <si>
    <t>Дер. Разбегаево, д. 55</t>
  </si>
  <si>
    <t>Итого по Ломоносовскому муниципальному району</t>
  </si>
  <si>
    <t>Сланцевский муниципальный район</t>
  </si>
  <si>
    <t>во</t>
  </si>
  <si>
    <t>гвс</t>
  </si>
  <si>
    <t>хвс</t>
  </si>
  <si>
    <t>тс</t>
  </si>
  <si>
    <t>ЭЛ</t>
  </si>
  <si>
    <t>Муниципальное образование Сланцевское городское поселение</t>
  </si>
  <si>
    <t>Г. Сланцы, ул. Баранова, д. 10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</si>
  <si>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</si>
  <si>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</si>
  <si>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</si>
  <si>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</si>
  <si>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</si>
  <si>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</si>
  <si>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</si>
  <si>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</si>
  <si>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</si>
  <si>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</si>
  <si>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</si>
  <si>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</si>
  <si>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</si>
  <si>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</si>
  <si>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</si>
  <si>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</si>
  <si>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</si>
  <si>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</si>
  <si>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</si>
  <si>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панельный</t>
  </si>
  <si>
    <t>блочный</t>
  </si>
  <si>
    <t>кирпич</t>
  </si>
  <si>
    <t>Волховский муниципальный район</t>
  </si>
  <si>
    <t>Итого по Волховскому муниципальному району</t>
  </si>
  <si>
    <t>монолит</t>
  </si>
  <si>
    <t>СС</t>
  </si>
  <si>
    <t>5-6</t>
  </si>
  <si>
    <t>Блочный</t>
  </si>
  <si>
    <t>кирпично-монолитный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</si>
  <si>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</si>
  <si>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</si>
  <si>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</si>
  <si>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</si>
  <si>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</si>
  <si>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</si>
  <si>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</si>
  <si>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</si>
  <si>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</si>
  <si>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</si>
  <si>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</si>
  <si>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</si>
  <si>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</si>
  <si>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</si>
  <si>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</si>
  <si>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</si>
  <si>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</si>
  <si>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</si>
  <si>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</si>
  <si>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</si>
  <si>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</si>
  <si>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</si>
  <si>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Кирпичный</t>
  </si>
  <si>
    <t>6,6,6,8</t>
  </si>
  <si>
    <t>Кирпич оштукатурен.</t>
  </si>
  <si>
    <t>Панельный</t>
  </si>
  <si>
    <t xml:space="preserve">кирпичный 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</si>
  <si>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</si>
  <si>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</si>
  <si>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</si>
  <si>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</si>
  <si>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</si>
  <si>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СЕТИ</t>
  </si>
  <si>
    <t>х</t>
  </si>
  <si>
    <t xml:space="preserve">Г. Выборг, ш. Ленинградское, д. 7  </t>
  </si>
  <si>
    <t>г.Кировск, ул.Северная, д.7</t>
  </si>
  <si>
    <t>Итого по Кировскому муниципальному району:</t>
  </si>
  <si>
    <t>Итого по Ломоносовскому муниципальному району:</t>
  </si>
  <si>
    <t xml:space="preserve">Итого по Выборгскому району </t>
  </si>
  <si>
    <t>Итого по Кировскому муниципальному району</t>
  </si>
  <si>
    <t xml:space="preserve">Г. Выборг, ул. Димитрова, д. 3  </t>
  </si>
  <si>
    <t>ССРО</t>
  </si>
  <si>
    <t>Г. Гатчина, просп. 25 Октября, д. 37</t>
  </si>
  <si>
    <t>Г. Гатчина, просп. 25 Октября, д. 52</t>
  </si>
  <si>
    <t>фасад с утеплением</t>
  </si>
  <si>
    <t>Г. Гатчина, ул. Гагарина, д. 14</t>
  </si>
  <si>
    <t>Г. Гатчина, ул. Лейтенанта Шмидта, д. 6</t>
  </si>
  <si>
    <t>Г. Гатчина, ул. Новоселов, д. 4</t>
  </si>
  <si>
    <t>Г. Гатчина, ул. Рощинская, д. 3, кор. 2</t>
  </si>
  <si>
    <t>Кирпич</t>
  </si>
  <si>
    <t>ЭС,ТС,ХВС+ГВС</t>
  </si>
  <si>
    <t>Кингисеппский муниципальный район</t>
  </si>
  <si>
    <t>Муниципальное образование Котельское сельское поселение</t>
  </si>
  <si>
    <t>Пос. Неппово, д. 24</t>
  </si>
  <si>
    <t>крупнопанельный</t>
  </si>
  <si>
    <t xml:space="preserve">Итого по Кингисеппскому муниципальному району </t>
  </si>
  <si>
    <t>Г. Кировск, ул. Новая, д. 7</t>
  </si>
  <si>
    <t>Г. Кировск, ул. Пионерская, д. 1</t>
  </si>
  <si>
    <t>Г. Кировск, ул. Северная, д. 3</t>
  </si>
  <si>
    <t>Пос. Молодцово, д. 2</t>
  </si>
  <si>
    <t>Муниципальное образование Русско-Высоцкое сельское поселение</t>
  </si>
  <si>
    <t>С. Русско-Высоцкое, д. 12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</si>
  <si>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</si>
  <si>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</si>
  <si>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</si>
  <si>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Итого по Приозерскому муниципальному району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</si>
  <si>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</si>
  <si>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</si>
  <si>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Раздольевское сельское поселение</t>
  </si>
  <si>
    <t>Дер. Раздолье, ул. Центральная, д. 10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</si>
  <si>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</si>
  <si>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</si>
  <si>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</si>
  <si>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</si>
  <si>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Сосновоборский городской округ</t>
  </si>
  <si>
    <t>Г. Сосновый Бор, ул. Солнечная, д. 22</t>
  </si>
  <si>
    <t>188</t>
  </si>
  <si>
    <t>Муниципальное образование Тосненское городское поселение</t>
  </si>
  <si>
    <t>Г. Тосно, ш. Барыбина, д. 11</t>
  </si>
  <si>
    <t>Тосненский район</t>
  </si>
  <si>
    <t>ПРОСЯТ ФАСАД СМР, т.к ССРО</t>
  </si>
  <si>
    <t>Итого по Приозерскому муниципальному  району</t>
  </si>
  <si>
    <t>Г. Новая Ладога, микрорайон В, д. 8</t>
  </si>
  <si>
    <t>Муниципальное образование Новоладожское городское поселение</t>
  </si>
  <si>
    <t>220</t>
  </si>
  <si>
    <t>С. Паша, ул. Советская, д. 104</t>
  </si>
  <si>
    <t>деревянный</t>
  </si>
  <si>
    <t>Муниципальное образование Пашское сельское поселение</t>
  </si>
  <si>
    <t>Итого по Волховскому району:</t>
  </si>
  <si>
    <t>Г.п. им. Морозова, квартал ст. Петрокрепость, д. 5</t>
  </si>
  <si>
    <t>Муниципальное образование Морозовское городское поселение</t>
  </si>
  <si>
    <t>Всеволожский муниципальный район</t>
  </si>
  <si>
    <t>Итого по Всеволожскому муниципальному району</t>
  </si>
  <si>
    <t xml:space="preserve">Итого по Всеволожскому муниципальному району </t>
  </si>
  <si>
    <t>Муниципальное образование Селезневское сельское поселение</t>
  </si>
  <si>
    <t>Пос. Селезнево, ул. Центральная, д. 8</t>
  </si>
  <si>
    <t>4 934,4</t>
  </si>
  <si>
    <t>Г. Гатчина, ул. Рощинская, д. 18</t>
  </si>
  <si>
    <t>Фасад с утеплением</t>
  </si>
  <si>
    <t>Г. Кировск, ул. Набережная, д. 3</t>
  </si>
  <si>
    <t>Дер. Горбунки, д. 14, кор. 1,2,3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</si>
  <si>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</si>
  <si>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</si>
  <si>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</si>
  <si>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Итого по Лужскому муниципальному району: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</si>
  <si>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</si>
  <si>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</si>
  <si>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</si>
  <si>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</si>
  <si>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</si>
  <si>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</si>
  <si>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</si>
  <si>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</si>
  <si>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</si>
  <si>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</si>
  <si>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</si>
  <si>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</si>
  <si>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</si>
  <si>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</si>
  <si>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</si>
  <si>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Сосновское сельское поселение</t>
  </si>
  <si>
    <t>Пос. Сосново, ул. Железнодорожная, д. 51</t>
  </si>
  <si>
    <t>Стоимость капитального ремонтаза счет средств собственников помещений в МКД</t>
  </si>
  <si>
    <t>Итого по Кингисеппскому муниципальному району</t>
  </si>
  <si>
    <t>Муниципальное образование Муринское сельское поселение</t>
  </si>
  <si>
    <t>Ж/б панели</t>
  </si>
  <si>
    <t xml:space="preserve">Г. Выборг, ш. Ленинградское, д. 10  </t>
  </si>
  <si>
    <t xml:space="preserve">Г. Выборг, ул. Крепостная, д. 7  </t>
  </si>
  <si>
    <t xml:space="preserve">Г. Выборг, просп. Суворова, д. 1  </t>
  </si>
  <si>
    <t xml:space="preserve">Г. Выборг, бул. Кутузова, д. 31  </t>
  </si>
  <si>
    <t>Муниципальное образование Муринское городское поселение</t>
  </si>
  <si>
    <t>Г. Тосно, ш. Барыбина, д. 14А</t>
  </si>
  <si>
    <t>Г. Тосно, ул. Блинникова, д. 10</t>
  </si>
  <si>
    <t>Г. Тосно, ул. Боярова, д. 2</t>
  </si>
  <si>
    <t>Г. Тосно, ул. Боярова, д. 7</t>
  </si>
  <si>
    <t>Г. Тосно, ул. Боярова, д. 14</t>
  </si>
  <si>
    <t>Г. Тосно, ул. Боярова, д. 15</t>
  </si>
  <si>
    <t>Г. Тосно, пр. Ленина, д. 10</t>
  </si>
  <si>
    <t>Г. Тосно, пр. Ленина, д. 22</t>
  </si>
  <si>
    <t>Г. Тосно, пр. Ленина, д. 23</t>
  </si>
  <si>
    <t>Г. Тосно, пр. Ленина, д. 28</t>
  </si>
  <si>
    <t>Г. Тосно, пр. Ленина, д. 31</t>
  </si>
  <si>
    <t>Г. Тосно, пр.Ленина, д. 35</t>
  </si>
  <si>
    <t>Г. Тосно, пр.Ленина, д. 41</t>
  </si>
  <si>
    <t>Г. Тосно, пр. Ленина, д. 55</t>
  </si>
  <si>
    <t>Г. Тосно, пр.Ленина, д. 65</t>
  </si>
  <si>
    <t>Г. Тосно, пр. Ленина, д. 67а</t>
  </si>
  <si>
    <t>Г. Тосно, пр. Ленина, д. 73</t>
  </si>
  <si>
    <t>Г. Тосно, пр. Ленина, д. 75</t>
  </si>
  <si>
    <t>Г. Тосно, ул. М. Горького, д. 6</t>
  </si>
  <si>
    <t>Г. Тосно, ул. М. Горького, д. 14</t>
  </si>
  <si>
    <t>Г. Тосно, ш. Московское, д. 17</t>
  </si>
  <si>
    <t>Г. Тосно, ш. Московское, д. 19</t>
  </si>
  <si>
    <t>Г. Тосно, ш. Московское, д. 23</t>
  </si>
  <si>
    <t>Г. Тосно, ш. Московское, д. 36</t>
  </si>
  <si>
    <t>Г. Тосно, ул. Островского, д. 17</t>
  </si>
  <si>
    <t>Г. Тосно, ул. Песочная, д. 44</t>
  </si>
  <si>
    <t>Г. Тосно, ул. Победы, д. 13</t>
  </si>
  <si>
    <t>Г. Тосно, ул. Победы, д. 19</t>
  </si>
  <si>
    <t>Г. Тосно, ул. Рабочая, д. 6</t>
  </si>
  <si>
    <t>Г. Тосно, ул. Советская, д. 10</t>
  </si>
  <si>
    <t>Г. Тосно, ул. Советская, д. 12</t>
  </si>
  <si>
    <t>Г. Тосно, ул. Тотмина, д. 5</t>
  </si>
  <si>
    <t>Г. Тосно, ул. Чехова, д. 3</t>
  </si>
  <si>
    <t>Г. Тосно, ул. Чехова, д. 6</t>
  </si>
  <si>
    <t>Дер. Новолисино, ул. Заводская, д. 5</t>
  </si>
  <si>
    <t>Дер. Новолисино, ул. Заводская, д. 10</t>
  </si>
  <si>
    <t>Г.п. Рябово, ул. Ленинградская, д. 5а</t>
  </si>
  <si>
    <t>Дер. Тарасово, д. 23</t>
  </si>
  <si>
    <t>Г. Тосно, пр. Ленина, д. 17 кор.1</t>
  </si>
  <si>
    <t>Г. Сланцы, ул. Кирова, д. 12а</t>
  </si>
  <si>
    <t>Г. Выборг, ул. Приморская, д. 43</t>
  </si>
  <si>
    <t>Пос. станция Громово, ул. Строителей, д. 3</t>
  </si>
  <si>
    <t>Итого по Приозерскому муниципальному району:</t>
  </si>
  <si>
    <t>Г. Сланцы, ул. Кирова, д. 1/12</t>
  </si>
  <si>
    <t>Г.п. Красный Бор, ул. Комсомольская, д. 12</t>
  </si>
  <si>
    <t>Г.п. Красный Бор, ул. Комсомольская, д. 18</t>
  </si>
  <si>
    <t>Муниципальное образование Красноборское сельское поселение</t>
  </si>
  <si>
    <t>Итого по Тосненскому муниципальному району</t>
  </si>
  <si>
    <t>Г. Сланцы, пер. Почтовый, д. 11</t>
  </si>
  <si>
    <t>Муниципальное образование Низинское сельское поселение</t>
  </si>
  <si>
    <t>Дер. Низино, ш. Санинское, д. 5</t>
  </si>
  <si>
    <t xml:space="preserve">панельный </t>
  </si>
  <si>
    <t>Муниципальное образование Приморское городское поселение</t>
  </si>
  <si>
    <t>Пос. Рябово, ул. Каменная, д. 7</t>
  </si>
  <si>
    <t>Пос. Рябово, ул. Каменная, д. 8</t>
  </si>
  <si>
    <t>Пос. Рябово, ул. Каменная, д. 9</t>
  </si>
  <si>
    <t xml:space="preserve">Перечень сокращений: </t>
  </si>
  <si>
    <t xml:space="preserve"> РО  - способ формирования фонда капитального ремонта у регионального оператора</t>
  </si>
  <si>
    <t xml:space="preserve"> ССРО  - способ формирования фонда капитального ремонта на специальном счете у регионального оператора</t>
  </si>
  <si>
    <t xml:space="preserve"> СС  - способ формирования фонда капитального ремонта на специальном счете</t>
  </si>
  <si>
    <t xml:space="preserve">ПУ и УУ приборы учета потребления ресурсов, необходимых для предоставления коммунальных услуг, и/или узлы управления и регулирования потребления этих ресурсов </t>
  </si>
  <si>
    <t>ТО-техническое освидетельствование</t>
  </si>
  <si>
    <t>МКД - многоквартирный дом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</si>
  <si>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</si>
  <si>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специальных счетах</t>
  </si>
  <si>
    <t>Раздел III. Перечень многоквартирных домов, которые подлежат капитальному ремонту в 2021 году, за счет средств собственников, формирующих фонд капитального ремонта на специальных счетах</t>
  </si>
  <si>
    <t>Раздел IV. Перечень многоквартирных домов, которые подлежат капитальному ремонту в 2022 году, за счет средств собственников, формирующих фонд капитального ремонта на специальных счетах</t>
  </si>
  <si>
    <t>Раздел II. Перечень многоквартирных домов, которые подлежат капитальному ремонту в 2020 году, за счет средств собственников, формирующих фонд капитального ремонта на специальных счетах</t>
  </si>
  <si>
    <t>УТВЕРЖДЕН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</si>
  <si>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</si>
  <si>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</si>
  <si>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</si>
  <si>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</si>
  <si>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</si>
  <si>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от 29 декабря 2020 года N 887)</t>
  </si>
  <si>
    <t>(приложение 5)</t>
  </si>
  <si>
    <t>г. Мурино, ул. Оборонная,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</si>
</sst>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" fontId="4" fillId="0" borderId="4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0" fontId="15" fillId="0" borderId="0" xfId="0" applyFont="1" applyFill="1"/>
    <xf numFmtId="0" fontId="4" fillId="0" borderId="37" xfId="0" applyNumberFormat="1" applyFont="1" applyFill="1" applyBorder="1" applyAlignment="1">
      <alignment horizontal="left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2" fontId="5" fillId="0" borderId="45" xfId="1" applyNumberFormat="1" applyFont="1" applyFill="1" applyBorder="1" applyAlignment="1">
      <alignment vertical="center" wrapText="1"/>
    </xf>
    <xf numFmtId="2" fontId="5" fillId="0" borderId="45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left" vertical="center"/>
    </xf>
    <xf numFmtId="4" fontId="5" fillId="0" borderId="45" xfId="0" applyNumberFormat="1" applyFont="1" applyFill="1" applyBorder="1" applyAlignment="1">
      <alignment horizontal="left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1" fontId="4" fillId="0" borderId="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4" fillId="0" borderId="45" xfId="1" applyNumberFormat="1" applyFont="1" applyFill="1" applyBorder="1" applyAlignment="1">
      <alignment vertical="center"/>
    </xf>
    <xf numFmtId="0" fontId="4" fillId="0" borderId="45" xfId="1" applyFont="1" applyFill="1" applyBorder="1" applyAlignment="1">
      <alignment horizontal="center" vertical="center" wrapText="1"/>
    </xf>
    <xf numFmtId="0" fontId="15" fillId="0" borderId="45" xfId="0" applyFont="1" applyFill="1" applyBorder="1"/>
    <xf numFmtId="4" fontId="5" fillId="0" borderId="45" xfId="1" applyNumberFormat="1" applyFont="1" applyFill="1" applyBorder="1" applyAlignment="1">
      <alignment horizontal="center" vertical="center" wrapText="1"/>
    </xf>
    <xf numFmtId="3" fontId="5" fillId="0" borderId="45" xfId="1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left" vertical="center" wrapText="1"/>
    </xf>
    <xf numFmtId="43" fontId="5" fillId="0" borderId="37" xfId="29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/>
    <xf numFmtId="0" fontId="4" fillId="0" borderId="40" xfId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vertical="center"/>
    </xf>
    <xf numFmtId="0" fontId="4" fillId="0" borderId="37" xfId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4" fillId="0" borderId="0" xfId="0" applyFont="1" applyFill="1"/>
    <xf numFmtId="1" fontId="5" fillId="0" borderId="0" xfId="0" applyNumberFormat="1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/>
    <xf numFmtId="4" fontId="5" fillId="0" borderId="30" xfId="0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vertical="center" wrapText="1"/>
    </xf>
    <xf numFmtId="2" fontId="4" fillId="0" borderId="41" xfId="0" applyNumberFormat="1" applyFont="1" applyFill="1" applyBorder="1" applyAlignment="1">
      <alignment horizontal="left" vertical="center"/>
    </xf>
    <xf numFmtId="2" fontId="4" fillId="0" borderId="40" xfId="0" applyNumberFormat="1" applyFont="1" applyFill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2" fontId="5" fillId="0" borderId="37" xfId="1" applyNumberFormat="1" applyFont="1" applyFill="1" applyBorder="1" applyAlignment="1">
      <alignment vertical="center" wrapText="1"/>
    </xf>
    <xf numFmtId="0" fontId="14" fillId="0" borderId="43" xfId="0" applyFont="1" applyFill="1" applyBorder="1"/>
    <xf numFmtId="2" fontId="5" fillId="0" borderId="2" xfId="0" applyNumberFormat="1" applyFont="1" applyFill="1" applyBorder="1" applyAlignment="1">
      <alignment horizontal="right" vertical="center" indent="1"/>
    </xf>
    <xf numFmtId="2" fontId="18" fillId="0" borderId="2" xfId="0" applyNumberFormat="1" applyFont="1" applyFill="1" applyBorder="1" applyAlignment="1">
      <alignment horizontal="right" vertical="center" indent="1"/>
    </xf>
    <xf numFmtId="2" fontId="19" fillId="0" borderId="2" xfId="0" applyNumberFormat="1" applyFont="1" applyFill="1" applyBorder="1" applyAlignment="1">
      <alignment horizontal="right" vertical="center" indent="1"/>
    </xf>
    <xf numFmtId="2" fontId="20" fillId="0" borderId="2" xfId="0" applyNumberFormat="1" applyFont="1" applyFill="1" applyBorder="1" applyAlignment="1">
      <alignment horizontal="right" vertical="center" indent="1"/>
    </xf>
    <xf numFmtId="2" fontId="5" fillId="0" borderId="43" xfId="1" applyNumberFormat="1" applyFont="1" applyFill="1" applyBorder="1" applyAlignment="1">
      <alignment vertical="center" wrapText="1"/>
    </xf>
    <xf numFmtId="4" fontId="7" fillId="0" borderId="45" xfId="0" applyNumberFormat="1" applyFont="1" applyFill="1" applyBorder="1" applyAlignment="1">
      <alignment horizontal="center"/>
    </xf>
    <xf numFmtId="43" fontId="5" fillId="0" borderId="40" xfId="29" applyFont="1" applyFill="1" applyBorder="1"/>
    <xf numFmtId="43" fontId="5" fillId="0" borderId="45" xfId="29" applyFont="1" applyFill="1" applyBorder="1"/>
    <xf numFmtId="4" fontId="7" fillId="0" borderId="0" xfId="0" applyNumberFormat="1" applyFont="1" applyFill="1" applyBorder="1" applyAlignment="1">
      <alignment horizontal="center"/>
    </xf>
    <xf numFmtId="43" fontId="5" fillId="0" borderId="0" xfId="29" applyFont="1" applyFill="1" applyBorder="1"/>
    <xf numFmtId="0" fontId="7" fillId="0" borderId="38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 wrapText="1"/>
    </xf>
    <xf numFmtId="1" fontId="4" fillId="0" borderId="30" xfId="1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2" fontId="5" fillId="0" borderId="37" xfId="0" applyNumberFormat="1" applyFont="1" applyFill="1" applyBorder="1" applyAlignment="1">
      <alignment vertical="center"/>
    </xf>
    <xf numFmtId="4" fontId="5" fillId="0" borderId="45" xfId="0" applyNumberFormat="1" applyFont="1" applyFill="1" applyBorder="1"/>
    <xf numFmtId="0" fontId="14" fillId="0" borderId="0" xfId="0" applyFont="1" applyFill="1" applyBorder="1"/>
    <xf numFmtId="43" fontId="14" fillId="0" borderId="0" xfId="29" applyFont="1" applyFill="1"/>
    <xf numFmtId="0" fontId="5" fillId="0" borderId="37" xfId="0" applyFont="1" applyFill="1" applyBorder="1" applyAlignment="1">
      <alignment vertical="center" wrapText="1"/>
    </xf>
    <xf numFmtId="4" fontId="5" fillId="0" borderId="37" xfId="1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1" fontId="5" fillId="0" borderId="45" xfId="1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/>
    <xf numFmtId="2" fontId="4" fillId="0" borderId="9" xfId="1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/>
    <xf numFmtId="2" fontId="4" fillId="0" borderId="2" xfId="0" applyNumberFormat="1" applyFont="1" applyFill="1" applyBorder="1" applyAlignment="1"/>
    <xf numFmtId="2" fontId="4" fillId="0" borderId="2" xfId="0" applyNumberFormat="1" applyFont="1" applyFill="1" applyBorder="1" applyAlignment="1">
      <alignment wrapText="1"/>
    </xf>
    <xf numFmtId="1" fontId="14" fillId="0" borderId="0" xfId="0" applyNumberFormat="1" applyFont="1" applyFill="1" applyAlignment="1"/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41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right" vertical="center" inden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right" vertical="center" indent="1"/>
    </xf>
    <xf numFmtId="4" fontId="4" fillId="0" borderId="37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4" fontId="5" fillId="0" borderId="37" xfId="0" applyNumberFormat="1" applyFont="1" applyFill="1" applyBorder="1" applyAlignment="1">
      <alignment horizontal="right" vertical="center" indent="1"/>
    </xf>
    <xf numFmtId="0" fontId="4" fillId="0" borderId="40" xfId="1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 indent="1"/>
    </xf>
    <xf numFmtId="3" fontId="5" fillId="0" borderId="45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45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5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90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horizontal="center" vertical="center" textRotation="90" wrapText="1"/>
    </xf>
    <xf numFmtId="4" fontId="5" fillId="0" borderId="38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2" fontId="4" fillId="0" borderId="46" xfId="1" applyNumberFormat="1" applyFont="1" applyFill="1" applyBorder="1" applyAlignment="1">
      <alignment horizontal="left" vertical="center" wrapText="1"/>
    </xf>
    <xf numFmtId="2" fontId="4" fillId="0" borderId="40" xfId="1" applyNumberFormat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2" fontId="4" fillId="0" borderId="41" xfId="1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left" vertical="center"/>
    </xf>
    <xf numFmtId="2" fontId="5" fillId="0" borderId="35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2" fontId="4" fillId="0" borderId="33" xfId="1" applyNumberFormat="1" applyFont="1" applyFill="1" applyBorder="1" applyAlignment="1">
      <alignment horizontal="left" vertical="center" wrapText="1"/>
    </xf>
    <xf numFmtId="2" fontId="4" fillId="0" borderId="35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5" xfId="1" applyNumberFormat="1" applyFont="1" applyFill="1" applyBorder="1" applyAlignment="1">
      <alignment horizontal="left" vertical="center" wrapText="1"/>
    </xf>
    <xf numFmtId="4" fontId="4" fillId="0" borderId="41" xfId="0" applyNumberFormat="1" applyFont="1" applyFill="1" applyBorder="1" applyAlignment="1">
      <alignment horizontal="left" vertical="center" wrapText="1"/>
    </xf>
    <xf numFmtId="4" fontId="4" fillId="0" borderId="40" xfId="0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4" fontId="4" fillId="0" borderId="37" xfId="0" applyNumberFormat="1" applyFont="1" applyFill="1" applyBorder="1" applyAlignment="1">
      <alignment horizontal="left" vertical="center"/>
    </xf>
    <xf numFmtId="1" fontId="4" fillId="0" borderId="28" xfId="1" applyNumberFormat="1" applyFont="1" applyFill="1" applyBorder="1" applyAlignment="1">
      <alignment horizontal="center" vertical="center"/>
    </xf>
    <xf numFmtId="1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left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46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4" fontId="4" fillId="0" borderId="46" xfId="0" applyNumberFormat="1" applyFont="1" applyFill="1" applyBorder="1" applyAlignment="1">
      <alignment horizontal="left" vertical="center"/>
    </xf>
    <xf numFmtId="4" fontId="4" fillId="0" borderId="39" xfId="0" applyNumberFormat="1" applyFont="1" applyFill="1" applyBorder="1" applyAlignment="1">
      <alignment horizontal="left" vertical="center"/>
    </xf>
    <xf numFmtId="4" fontId="4" fillId="0" borderId="40" xfId="0" applyNumberFormat="1" applyFont="1" applyFill="1" applyBorder="1" applyAlignment="1">
      <alignment horizontal="left" vertical="center"/>
    </xf>
    <xf numFmtId="0" fontId="4" fillId="0" borderId="46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33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view="pageBreakPreview" zoomScale="60" zoomScaleNormal="80" workbookViewId="0">
      <pane xSplit="2" ySplit="17" topLeftCell="C18" activePane="bottomRight" state="frozen"/>
      <selection pane="topRight" activeCell="C1" sqref="C1"/>
      <selection pane="bottomLeft" activeCell="A13" sqref="A13"/>
      <selection pane="bottomRight" activeCell="D26" sqref="D26"/>
    </sheetView>
  </sheetViews>
  <sheetFormatPr defaultColWidth="9.109375" defaultRowHeight="15.6" x14ac:dyDescent="0.3"/>
  <cols>
    <col min="1" max="1" width="9.88671875" style="138" customWidth="1"/>
    <col min="2" max="2" width="65.109375" style="139" customWidth="1"/>
    <col min="3" max="4" width="9.109375" style="140" customWidth="1"/>
    <col min="5" max="5" width="29.109375" style="140" customWidth="1"/>
    <col min="6" max="6" width="9.109375" style="140" customWidth="1"/>
    <col min="7" max="7" width="15.33203125" style="141" customWidth="1"/>
    <col min="8" max="8" width="18" style="142" customWidth="1"/>
    <col min="9" max="9" width="20.109375" style="141" customWidth="1"/>
    <col min="10" max="10" width="13.109375" style="140" customWidth="1"/>
    <col min="11" max="11" width="9.109375" style="140" customWidth="1"/>
    <col min="12" max="12" width="15.5546875" style="21" hidden="1" customWidth="1"/>
    <col min="13" max="13" width="19.5546875" style="21" customWidth="1"/>
    <col min="14" max="16384" width="9.109375" style="21"/>
  </cols>
  <sheetData>
    <row r="1" spans="1:11" x14ac:dyDescent="0.3">
      <c r="A1" s="16"/>
      <c r="B1" s="11"/>
      <c r="C1" s="17"/>
      <c r="D1" s="12"/>
      <c r="E1" s="12"/>
      <c r="F1" s="18"/>
      <c r="G1" s="19"/>
      <c r="H1" s="20"/>
      <c r="I1" s="141" t="s">
        <v>309</v>
      </c>
      <c r="J1" s="12"/>
      <c r="K1" s="12"/>
    </row>
    <row r="2" spans="1:11" x14ac:dyDescent="0.3">
      <c r="A2" s="16"/>
      <c r="B2" s="11"/>
      <c r="C2" s="17"/>
      <c r="D2" s="12"/>
      <c r="E2" s="12"/>
      <c r="F2" s="18"/>
      <c r="G2" s="150"/>
      <c r="H2" s="20"/>
      <c r="I2" s="141" t="s">
        <v>310</v>
      </c>
      <c r="J2" s="12"/>
      <c r="K2" s="12"/>
    </row>
    <row r="3" spans="1:11" x14ac:dyDescent="0.3">
      <c r="A3" s="16"/>
      <c r="B3" s="11"/>
      <c r="C3" s="17"/>
      <c r="D3" s="12"/>
      <c r="E3" s="12"/>
      <c r="F3" s="18"/>
      <c r="G3" s="150"/>
      <c r="H3" s="20"/>
      <c r="I3" s="141" t="s">
        <v>311</v>
      </c>
      <c r="J3" s="12"/>
      <c r="K3" s="12"/>
    </row>
    <row r="4" spans="1:11" x14ac:dyDescent="0.3">
      <c r="A4" s="16"/>
      <c r="B4" s="11"/>
      <c r="C4" s="17"/>
      <c r="D4" s="12"/>
      <c r="E4" s="12"/>
      <c r="F4" s="18"/>
      <c r="G4" s="150"/>
      <c r="H4" s="20"/>
      <c r="I4" s="141" t="s">
        <v>312</v>
      </c>
      <c r="J4" s="12"/>
      <c r="K4" s="12"/>
    </row>
    <row r="5" spans="1:11" x14ac:dyDescent="0.3">
      <c r="A5" s="16"/>
      <c r="B5" s="11"/>
      <c r="C5" s="17"/>
      <c r="D5" s="12"/>
      <c r="E5" s="12"/>
      <c r="F5" s="18"/>
      <c r="G5" s="150"/>
      <c r="H5" s="20"/>
      <c r="I5" s="150" t="s">
        <v>313</v>
      </c>
      <c r="J5" s="12"/>
      <c r="K5" s="12"/>
    </row>
    <row r="6" spans="1:11" x14ac:dyDescent="0.3">
      <c r="A6" s="16"/>
      <c r="B6" s="11"/>
      <c r="C6" s="17"/>
      <c r="D6" s="12"/>
      <c r="E6" s="12"/>
      <c r="F6" s="18"/>
      <c r="G6" s="150"/>
      <c r="H6" s="20"/>
      <c r="I6" s="150" t="s">
        <v>314</v>
      </c>
      <c r="J6" s="12"/>
      <c r="K6" s="12"/>
    </row>
    <row r="7" spans="1:11" x14ac:dyDescent="0.3">
      <c r="A7" s="16"/>
      <c r="B7" s="11"/>
      <c r="C7" s="17"/>
      <c r="D7" s="12"/>
      <c r="E7" s="12"/>
      <c r="F7" s="18"/>
      <c r="G7" s="19"/>
      <c r="H7" s="20"/>
      <c r="I7" s="150" t="s">
        <v>315</v>
      </c>
      <c r="J7" s="12"/>
      <c r="K7" s="12"/>
    </row>
    <row r="8" spans="1:11" x14ac:dyDescent="0.3">
      <c r="A8" s="16"/>
      <c r="B8" s="11"/>
      <c r="C8" s="17"/>
      <c r="D8" s="12"/>
      <c r="E8" s="12"/>
      <c r="F8" s="18"/>
      <c r="G8" s="19"/>
      <c r="H8" s="20"/>
      <c r="I8" s="21" t="s">
        <v>316</v>
      </c>
      <c r="J8" s="12"/>
      <c r="K8" s="12"/>
    </row>
    <row r="9" spans="1:11" ht="33" customHeight="1" x14ac:dyDescent="0.3">
      <c r="A9" s="361" t="s">
        <v>304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</row>
    <row r="10" spans="1:11" ht="27.6" customHeight="1" x14ac:dyDescent="0.3">
      <c r="A10" s="363" t="s">
        <v>305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24" customHeight="1" x14ac:dyDescent="0.3">
      <c r="A11" s="372" t="s">
        <v>1</v>
      </c>
      <c r="B11" s="372" t="s">
        <v>2</v>
      </c>
      <c r="C11" s="373" t="s">
        <v>88</v>
      </c>
      <c r="D11" s="373"/>
      <c r="E11" s="374" t="s">
        <v>89</v>
      </c>
      <c r="F11" s="366" t="s">
        <v>90</v>
      </c>
      <c r="G11" s="367" t="s">
        <v>91</v>
      </c>
      <c r="H11" s="368" t="s">
        <v>92</v>
      </c>
      <c r="I11" s="369" t="s">
        <v>232</v>
      </c>
      <c r="J11" s="375" t="s">
        <v>93</v>
      </c>
      <c r="K11" s="375" t="s">
        <v>94</v>
      </c>
    </row>
    <row r="12" spans="1:11" ht="15" customHeight="1" x14ac:dyDescent="0.3">
      <c r="A12" s="372"/>
      <c r="B12" s="372"/>
      <c r="C12" s="376" t="s">
        <v>95</v>
      </c>
      <c r="D12" s="375" t="s">
        <v>96</v>
      </c>
      <c r="E12" s="374"/>
      <c r="F12" s="366"/>
      <c r="G12" s="367"/>
      <c r="H12" s="368"/>
      <c r="I12" s="370"/>
      <c r="J12" s="375"/>
      <c r="K12" s="375"/>
    </row>
    <row r="13" spans="1:11" ht="91.5" customHeight="1" x14ac:dyDescent="0.3">
      <c r="A13" s="372"/>
      <c r="B13" s="372"/>
      <c r="C13" s="376"/>
      <c r="D13" s="375"/>
      <c r="E13" s="374"/>
      <c r="F13" s="366"/>
      <c r="G13" s="367"/>
      <c r="H13" s="368"/>
      <c r="I13" s="371"/>
      <c r="J13" s="375"/>
      <c r="K13" s="375"/>
    </row>
    <row r="14" spans="1:11" ht="18" customHeight="1" x14ac:dyDescent="0.3">
      <c r="A14" s="22"/>
      <c r="B14" s="22"/>
      <c r="C14" s="376"/>
      <c r="D14" s="375"/>
      <c r="E14" s="374"/>
      <c r="F14" s="366"/>
      <c r="G14" s="23" t="s">
        <v>97</v>
      </c>
      <c r="H14" s="24" t="s">
        <v>98</v>
      </c>
      <c r="I14" s="23" t="s">
        <v>30</v>
      </c>
      <c r="J14" s="375"/>
      <c r="K14" s="375"/>
    </row>
    <row r="15" spans="1:11" x14ac:dyDescent="0.3">
      <c r="A15" s="25">
        <v>1</v>
      </c>
      <c r="B15" s="26">
        <v>2</v>
      </c>
      <c r="C15" s="27">
        <v>3</v>
      </c>
      <c r="D15" s="28">
        <v>4</v>
      </c>
      <c r="E15" s="28">
        <v>5</v>
      </c>
      <c r="F15" s="25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</row>
    <row r="16" spans="1:11" ht="17.25" customHeight="1" x14ac:dyDescent="0.3">
      <c r="A16" s="360" t="s">
        <v>103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</row>
    <row r="17" spans="1:12" ht="17.25" customHeight="1" x14ac:dyDescent="0.3">
      <c r="A17" s="29" t="s">
        <v>36</v>
      </c>
      <c r="B17" s="30"/>
      <c r="C17" s="31"/>
      <c r="D17" s="31"/>
      <c r="E17" s="31"/>
      <c r="F17" s="31"/>
      <c r="G17" s="32"/>
      <c r="H17" s="33"/>
      <c r="I17" s="32"/>
      <c r="J17" s="31"/>
      <c r="K17" s="31"/>
    </row>
    <row r="18" spans="1:12" ht="17.25" customHeight="1" x14ac:dyDescent="0.3">
      <c r="A18" s="28">
        <v>1</v>
      </c>
      <c r="B18" s="30" t="s">
        <v>37</v>
      </c>
      <c r="C18" s="34">
        <v>1952</v>
      </c>
      <c r="D18" s="31"/>
      <c r="E18" s="31" t="s">
        <v>105</v>
      </c>
      <c r="F18" s="31">
        <v>5</v>
      </c>
      <c r="G18" s="32">
        <v>4492</v>
      </c>
      <c r="H18" s="33">
        <v>272</v>
      </c>
      <c r="I18" s="35">
        <f>SUMIF('2020'!B:B,B18,'2020'!C:C)+SUMIF('2021'!B:B,B18,'2021'!C:C)+SUMIF('2022'!B:B,B18,'2022'!C:C)</f>
        <v>130000</v>
      </c>
      <c r="J18" s="36">
        <v>44925</v>
      </c>
      <c r="K18" s="34" t="s">
        <v>106</v>
      </c>
    </row>
    <row r="19" spans="1:12" ht="17.25" customHeight="1" x14ac:dyDescent="0.3">
      <c r="A19" s="37" t="s">
        <v>35</v>
      </c>
      <c r="B19" s="38"/>
      <c r="C19" s="31" t="s">
        <v>143</v>
      </c>
      <c r="D19" s="31" t="s">
        <v>143</v>
      </c>
      <c r="E19" s="31" t="s">
        <v>143</v>
      </c>
      <c r="F19" s="31" t="s">
        <v>143</v>
      </c>
      <c r="G19" s="32">
        <f>SUM(G18:G18)</f>
        <v>4492</v>
      </c>
      <c r="H19" s="33">
        <f>SUM(H18:H18)</f>
        <v>272</v>
      </c>
      <c r="I19" s="32">
        <f>SUM(I18:I18)</f>
        <v>130000</v>
      </c>
      <c r="J19" s="31" t="s">
        <v>143</v>
      </c>
      <c r="K19" s="31" t="s">
        <v>143</v>
      </c>
    </row>
    <row r="20" spans="1:12" ht="17.25" customHeight="1" x14ac:dyDescent="0.3">
      <c r="A20" s="37" t="s">
        <v>193</v>
      </c>
      <c r="B20" s="38"/>
      <c r="C20" s="31"/>
      <c r="D20" s="31"/>
      <c r="E20" s="31"/>
      <c r="F20" s="31"/>
      <c r="G20" s="32"/>
      <c r="H20" s="33"/>
      <c r="I20" s="32"/>
      <c r="J20" s="31"/>
      <c r="K20" s="31"/>
    </row>
    <row r="21" spans="1:12" ht="17.25" customHeight="1" x14ac:dyDescent="0.3">
      <c r="A21" s="28">
        <f>A18+1</f>
        <v>2</v>
      </c>
      <c r="B21" s="30" t="s">
        <v>192</v>
      </c>
      <c r="C21" s="34">
        <v>1976</v>
      </c>
      <c r="D21" s="31"/>
      <c r="E21" s="34" t="s">
        <v>101</v>
      </c>
      <c r="F21" s="39">
        <v>5</v>
      </c>
      <c r="G21" s="40">
        <v>4292.76</v>
      </c>
      <c r="H21" s="41" t="s">
        <v>194</v>
      </c>
      <c r="I21" s="35">
        <f>SUMIF('2020'!B:B,B21,'2020'!C:C)+SUMIF('2021'!B:B,B21,'2021'!C:C)+SUMIF('2022'!B:B,B21,'2022'!C:C)</f>
        <v>217045.27</v>
      </c>
      <c r="J21" s="36">
        <v>44925</v>
      </c>
      <c r="K21" s="34" t="s">
        <v>151</v>
      </c>
    </row>
    <row r="22" spans="1:12" ht="17.25" customHeight="1" x14ac:dyDescent="0.3">
      <c r="A22" s="37" t="s">
        <v>35</v>
      </c>
      <c r="B22" s="38"/>
      <c r="C22" s="31" t="s">
        <v>143</v>
      </c>
      <c r="D22" s="31" t="s">
        <v>143</v>
      </c>
      <c r="E22" s="31" t="s">
        <v>143</v>
      </c>
      <c r="F22" s="31" t="s">
        <v>143</v>
      </c>
      <c r="G22" s="32">
        <f>G21</f>
        <v>4292.76</v>
      </c>
      <c r="H22" s="32" t="str">
        <f>H21</f>
        <v>220</v>
      </c>
      <c r="I22" s="32">
        <f>I21</f>
        <v>217045.27</v>
      </c>
      <c r="J22" s="31" t="s">
        <v>143</v>
      </c>
      <c r="K22" s="31" t="s">
        <v>143</v>
      </c>
    </row>
    <row r="23" spans="1:12" ht="17.25" customHeight="1" x14ac:dyDescent="0.3">
      <c r="A23" s="37" t="s">
        <v>197</v>
      </c>
      <c r="B23" s="38"/>
      <c r="C23" s="31"/>
      <c r="D23" s="31"/>
      <c r="E23" s="31"/>
      <c r="F23" s="31"/>
      <c r="G23" s="32"/>
      <c r="H23" s="33"/>
      <c r="I23" s="32"/>
      <c r="J23" s="31"/>
      <c r="K23" s="31"/>
    </row>
    <row r="24" spans="1:12" ht="17.25" customHeight="1" x14ac:dyDescent="0.3">
      <c r="A24" s="28">
        <f>A21+1</f>
        <v>3</v>
      </c>
      <c r="B24" s="30" t="s">
        <v>195</v>
      </c>
      <c r="C24" s="34">
        <v>1917</v>
      </c>
      <c r="D24" s="31"/>
      <c r="E24" s="42" t="s">
        <v>196</v>
      </c>
      <c r="F24" s="42">
        <v>2</v>
      </c>
      <c r="G24" s="42">
        <v>348.6</v>
      </c>
      <c r="H24" s="43">
        <v>9</v>
      </c>
      <c r="I24" s="35">
        <f>SUMIF('2020'!B:B,B24,'2020'!C:C)+SUMIF('2021'!B:B,B24,'2021'!C:C)+SUMIF('2022'!B:B,B24,'2022'!C:C)</f>
        <v>968776.28</v>
      </c>
      <c r="J24" s="36">
        <v>44925</v>
      </c>
      <c r="K24" s="34" t="s">
        <v>151</v>
      </c>
    </row>
    <row r="25" spans="1:12" ht="17.25" customHeight="1" x14ac:dyDescent="0.3">
      <c r="A25" s="37" t="s">
        <v>35</v>
      </c>
      <c r="B25" s="38"/>
      <c r="C25" s="31" t="s">
        <v>143</v>
      </c>
      <c r="D25" s="31" t="s">
        <v>143</v>
      </c>
      <c r="E25" s="31" t="s">
        <v>143</v>
      </c>
      <c r="F25" s="31" t="s">
        <v>143</v>
      </c>
      <c r="G25" s="32">
        <f>G24</f>
        <v>348.6</v>
      </c>
      <c r="H25" s="33">
        <f>H24</f>
        <v>9</v>
      </c>
      <c r="I25" s="32">
        <f>I24</f>
        <v>968776.28</v>
      </c>
      <c r="J25" s="31" t="s">
        <v>143</v>
      </c>
      <c r="K25" s="31" t="s">
        <v>143</v>
      </c>
    </row>
    <row r="26" spans="1:12" s="50" customFormat="1" ht="17.25" customHeight="1" x14ac:dyDescent="0.3">
      <c r="A26" s="44" t="s">
        <v>104</v>
      </c>
      <c r="B26" s="45"/>
      <c r="C26" s="46" t="s">
        <v>143</v>
      </c>
      <c r="D26" s="46" t="s">
        <v>143</v>
      </c>
      <c r="E26" s="46" t="s">
        <v>143</v>
      </c>
      <c r="F26" s="46" t="s">
        <v>143</v>
      </c>
      <c r="G26" s="47">
        <f>G19+G22+G25</f>
        <v>9133.36</v>
      </c>
      <c r="H26" s="48">
        <f>H19+H22+H25</f>
        <v>501</v>
      </c>
      <c r="I26" s="47">
        <f>I19+I22+I25</f>
        <v>1315821.55</v>
      </c>
      <c r="J26" s="46" t="s">
        <v>143</v>
      </c>
      <c r="K26" s="46" t="s">
        <v>143</v>
      </c>
      <c r="L26" s="49">
        <f>I26-'2021'!C17-'2022'!C14</f>
        <v>0</v>
      </c>
    </row>
    <row r="27" spans="1:12" ht="17.25" customHeight="1" x14ac:dyDescent="0.3">
      <c r="A27" s="357" t="s">
        <v>201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9"/>
    </row>
    <row r="28" spans="1:12" ht="17.25" customHeight="1" x14ac:dyDescent="0.3">
      <c r="A28" s="51" t="s">
        <v>234</v>
      </c>
      <c r="B28" s="52"/>
      <c r="C28" s="53"/>
      <c r="D28" s="53"/>
      <c r="E28" s="53"/>
      <c r="F28" s="52"/>
      <c r="G28" s="52"/>
      <c r="H28" s="54"/>
      <c r="I28" s="52"/>
      <c r="J28" s="52"/>
      <c r="K28" s="55"/>
    </row>
    <row r="29" spans="1:12" ht="17.25" customHeight="1" x14ac:dyDescent="0.3">
      <c r="A29" s="56">
        <f>A24+1</f>
        <v>4</v>
      </c>
      <c r="B29" s="57" t="s">
        <v>317</v>
      </c>
      <c r="C29" s="53">
        <v>1993</v>
      </c>
      <c r="D29" s="53"/>
      <c r="E29" s="53" t="s">
        <v>235</v>
      </c>
      <c r="F29" s="56">
        <v>10</v>
      </c>
      <c r="G29" s="56">
        <v>5861</v>
      </c>
      <c r="H29" s="56">
        <v>154</v>
      </c>
      <c r="I29" s="35">
        <f>SUMIF('2020'!B:B,B29,'2020'!C:C)+SUMIF('2021'!B:B,B29,'2021'!C:C)+SUMIF('2022'!B:B,B29,'2022'!C:C)</f>
        <v>7753272.9199999999</v>
      </c>
      <c r="J29" s="58">
        <v>44925</v>
      </c>
      <c r="K29" s="59" t="s">
        <v>151</v>
      </c>
    </row>
    <row r="30" spans="1:12" ht="17.25" customHeight="1" x14ac:dyDescent="0.3">
      <c r="A30" s="37" t="s">
        <v>35</v>
      </c>
      <c r="B30" s="38"/>
      <c r="C30" s="31" t="s">
        <v>143</v>
      </c>
      <c r="D30" s="31" t="s">
        <v>143</v>
      </c>
      <c r="E30" s="31" t="s">
        <v>143</v>
      </c>
      <c r="F30" s="31" t="s">
        <v>143</v>
      </c>
      <c r="G30" s="32">
        <f>G29</f>
        <v>5861</v>
      </c>
      <c r="H30" s="33">
        <f>H29</f>
        <v>154</v>
      </c>
      <c r="I30" s="32">
        <f>I29</f>
        <v>7753272.9199999999</v>
      </c>
      <c r="J30" s="31" t="s">
        <v>143</v>
      </c>
      <c r="K30" s="31" t="s">
        <v>143</v>
      </c>
    </row>
    <row r="31" spans="1:12" ht="17.25" customHeight="1" x14ac:dyDescent="0.3">
      <c r="A31" s="60" t="s">
        <v>200</v>
      </c>
      <c r="B31" s="30"/>
      <c r="C31" s="31"/>
      <c r="D31" s="31"/>
      <c r="E31" s="31"/>
      <c r="F31" s="31"/>
      <c r="G31" s="61"/>
      <c r="H31" s="33"/>
      <c r="I31" s="31"/>
      <c r="J31" s="62"/>
      <c r="K31" s="62"/>
    </row>
    <row r="32" spans="1:12" ht="17.25" customHeight="1" x14ac:dyDescent="0.3">
      <c r="A32" s="26">
        <f>A29+1</f>
        <v>5</v>
      </c>
      <c r="B32" s="30" t="s">
        <v>199</v>
      </c>
      <c r="C32" s="34">
        <v>1968</v>
      </c>
      <c r="D32" s="31"/>
      <c r="E32" s="63" t="s">
        <v>101</v>
      </c>
      <c r="F32" s="63">
        <v>4</v>
      </c>
      <c r="G32" s="63">
        <v>2645.7</v>
      </c>
      <c r="H32" s="24">
        <v>60</v>
      </c>
      <c r="I32" s="35">
        <f>SUMIF('2020'!B:B,B32,'2020'!C:C)+SUMIF('2021'!B:B,B32,'2021'!C:C)+SUMIF('2022'!B:B,B32,'2022'!C:C)</f>
        <v>949602.59</v>
      </c>
      <c r="J32" s="36">
        <v>44925</v>
      </c>
      <c r="K32" s="34" t="s">
        <v>151</v>
      </c>
    </row>
    <row r="33" spans="1:12" ht="17.25" customHeight="1" x14ac:dyDescent="0.3">
      <c r="A33" s="37" t="s">
        <v>35</v>
      </c>
      <c r="B33" s="38"/>
      <c r="C33" s="31" t="s">
        <v>143</v>
      </c>
      <c r="D33" s="31" t="s">
        <v>143</v>
      </c>
      <c r="E33" s="31" t="s">
        <v>143</v>
      </c>
      <c r="F33" s="31" t="s">
        <v>143</v>
      </c>
      <c r="G33" s="32">
        <f>G32</f>
        <v>2645.7</v>
      </c>
      <c r="H33" s="33">
        <f>H32</f>
        <v>60</v>
      </c>
      <c r="I33" s="32">
        <f>I32</f>
        <v>949602.59</v>
      </c>
      <c r="J33" s="31" t="s">
        <v>143</v>
      </c>
      <c r="K33" s="31" t="s">
        <v>143</v>
      </c>
    </row>
    <row r="34" spans="1:12" s="50" customFormat="1" ht="17.25" customHeight="1" x14ac:dyDescent="0.3">
      <c r="A34" s="44" t="s">
        <v>202</v>
      </c>
      <c r="B34" s="45"/>
      <c r="C34" s="46" t="s">
        <v>143</v>
      </c>
      <c r="D34" s="46" t="s">
        <v>143</v>
      </c>
      <c r="E34" s="46" t="s">
        <v>143</v>
      </c>
      <c r="F34" s="46" t="s">
        <v>143</v>
      </c>
      <c r="G34" s="47">
        <f>G33+G30</f>
        <v>8506.7000000000007</v>
      </c>
      <c r="H34" s="48">
        <f>H33+H30</f>
        <v>214</v>
      </c>
      <c r="I34" s="47">
        <f>I33+I30</f>
        <v>8702875.5099999998</v>
      </c>
      <c r="J34" s="46" t="s">
        <v>143</v>
      </c>
      <c r="K34" s="46" t="s">
        <v>143</v>
      </c>
      <c r="L34" s="49">
        <f>I34-'2021'!C22</f>
        <v>7753272.9199999999</v>
      </c>
    </row>
    <row r="35" spans="1:12" s="50" customFormat="1" ht="17.25" customHeight="1" x14ac:dyDescent="0.3">
      <c r="A35" s="360" t="s">
        <v>38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</row>
    <row r="36" spans="1:12" ht="17.25" customHeight="1" x14ac:dyDescent="0.3">
      <c r="A36" s="29" t="s">
        <v>39</v>
      </c>
      <c r="B36" s="64"/>
      <c r="C36" s="31"/>
      <c r="D36" s="31"/>
      <c r="E36" s="31"/>
      <c r="F36" s="31"/>
      <c r="G36" s="32"/>
      <c r="H36" s="33"/>
      <c r="I36" s="32"/>
      <c r="J36" s="31"/>
      <c r="K36" s="31"/>
    </row>
    <row r="37" spans="1:12" ht="17.25" customHeight="1" x14ac:dyDescent="0.3">
      <c r="A37" s="28">
        <f>A32+1</f>
        <v>6</v>
      </c>
      <c r="B37" s="30" t="s">
        <v>40</v>
      </c>
      <c r="C37" s="34">
        <v>1938</v>
      </c>
      <c r="D37" s="31"/>
      <c r="E37" s="65" t="s">
        <v>99</v>
      </c>
      <c r="F37" s="31">
        <v>7</v>
      </c>
      <c r="G37" s="66">
        <v>4341.8999999999996</v>
      </c>
      <c r="H37" s="33">
        <v>156</v>
      </c>
      <c r="I37" s="35">
        <f>SUMIF('2020'!B:B,B37,'2020'!C:C)+SUMIF('2021'!B:B,B37,'2021'!C:C)+SUMIF('2022'!B:B,B37,'2022'!C:C)</f>
        <v>130000</v>
      </c>
      <c r="J37" s="36">
        <v>44925</v>
      </c>
      <c r="K37" s="63" t="s">
        <v>106</v>
      </c>
    </row>
    <row r="38" spans="1:12" ht="17.25" customHeight="1" x14ac:dyDescent="0.3">
      <c r="A38" s="28">
        <f>A37+1</f>
        <v>7</v>
      </c>
      <c r="B38" s="67" t="s">
        <v>239</v>
      </c>
      <c r="C38" s="68">
        <v>1950</v>
      </c>
      <c r="D38" s="69"/>
      <c r="E38" s="70" t="s">
        <v>99</v>
      </c>
      <c r="F38" s="70">
        <v>5</v>
      </c>
      <c r="G38" s="71">
        <v>2585.38</v>
      </c>
      <c r="H38" s="70">
        <v>72</v>
      </c>
      <c r="I38" s="35">
        <f>SUMIF('2020'!B:B,B38,'2020'!C:C)+SUMIF('2021'!B:B,B38,'2021'!C:C)+SUMIF('2022'!B:B,B38,'2022'!C:C)</f>
        <v>397653.68</v>
      </c>
      <c r="J38" s="72">
        <v>44925</v>
      </c>
      <c r="K38" s="73" t="s">
        <v>151</v>
      </c>
    </row>
    <row r="39" spans="1:12" ht="17.25" customHeight="1" x14ac:dyDescent="0.3">
      <c r="A39" s="28">
        <f t="shared" ref="A39:A44" si="0">A38+1</f>
        <v>8</v>
      </c>
      <c r="B39" s="74" t="s">
        <v>238</v>
      </c>
      <c r="C39" s="75">
        <v>1940</v>
      </c>
      <c r="D39" s="76"/>
      <c r="E39" s="77" t="s">
        <v>99</v>
      </c>
      <c r="F39" s="70">
        <v>4</v>
      </c>
      <c r="G39" s="78">
        <v>1602.32</v>
      </c>
      <c r="H39" s="70">
        <v>31</v>
      </c>
      <c r="I39" s="35">
        <f>SUMIF('2020'!B:B,B39,'2020'!C:C)+SUMIF('2021'!B:B,B39,'2021'!C:C)+SUMIF('2022'!B:B,B39,'2022'!C:C)</f>
        <v>281021.93</v>
      </c>
      <c r="J39" s="72">
        <v>44925</v>
      </c>
      <c r="K39" s="73" t="s">
        <v>151</v>
      </c>
    </row>
    <row r="40" spans="1:12" ht="17.25" customHeight="1" x14ac:dyDescent="0.3">
      <c r="A40" s="28">
        <f t="shared" si="0"/>
        <v>9</v>
      </c>
      <c r="B40" s="30" t="s">
        <v>41</v>
      </c>
      <c r="C40" s="34">
        <v>1940</v>
      </c>
      <c r="D40" s="31"/>
      <c r="E40" s="79" t="s">
        <v>109</v>
      </c>
      <c r="F40" s="79">
        <v>10</v>
      </c>
      <c r="G40" s="80">
        <v>6273</v>
      </c>
      <c r="H40" s="81">
        <v>231</v>
      </c>
      <c r="I40" s="35">
        <f>SUMIF('2020'!B:B,B40,'2020'!C:C)+SUMIF('2021'!B:B,B40,'2021'!C:C)+SUMIF('2022'!B:B,B40,'2022'!C:C)</f>
        <v>130000</v>
      </c>
      <c r="J40" s="36">
        <v>44925</v>
      </c>
      <c r="K40" s="63" t="s">
        <v>106</v>
      </c>
    </row>
    <row r="41" spans="1:12" ht="17.25" customHeight="1" x14ac:dyDescent="0.3">
      <c r="A41" s="28">
        <f t="shared" si="0"/>
        <v>10</v>
      </c>
      <c r="B41" s="30" t="s">
        <v>42</v>
      </c>
      <c r="C41" s="34">
        <v>1940</v>
      </c>
      <c r="D41" s="31"/>
      <c r="E41" s="79" t="s">
        <v>109</v>
      </c>
      <c r="F41" s="79" t="s">
        <v>107</v>
      </c>
      <c r="G41" s="80">
        <v>10080</v>
      </c>
      <c r="H41" s="81">
        <v>120</v>
      </c>
      <c r="I41" s="35">
        <f>SUMIF('2020'!B:B,B41,'2020'!C:C)+SUMIF('2021'!B:B,B41,'2021'!C:C)+SUMIF('2022'!B:B,B41,'2022'!C:C)</f>
        <v>130000</v>
      </c>
      <c r="J41" s="36">
        <v>44925</v>
      </c>
      <c r="K41" s="63" t="s">
        <v>106</v>
      </c>
    </row>
    <row r="42" spans="1:12" ht="17.25" customHeight="1" x14ac:dyDescent="0.3">
      <c r="A42" s="28">
        <f t="shared" si="0"/>
        <v>11</v>
      </c>
      <c r="B42" s="30" t="s">
        <v>150</v>
      </c>
      <c r="C42" s="34">
        <v>1976</v>
      </c>
      <c r="D42" s="31"/>
      <c r="E42" s="65" t="s">
        <v>99</v>
      </c>
      <c r="F42" s="65">
        <v>7</v>
      </c>
      <c r="G42" s="82">
        <v>2877.24</v>
      </c>
      <c r="H42" s="83">
        <v>97</v>
      </c>
      <c r="I42" s="35">
        <f>SUMIF('2020'!B:B,B42,'2020'!C:C)+SUMIF('2021'!B:B,B42,'2021'!C:C)+SUMIF('2022'!B:B,B42,'2022'!C:C)</f>
        <v>381632.86</v>
      </c>
      <c r="J42" s="36">
        <v>44925</v>
      </c>
      <c r="K42" s="63" t="s">
        <v>151</v>
      </c>
    </row>
    <row r="43" spans="1:12" ht="17.25" customHeight="1" x14ac:dyDescent="0.3">
      <c r="A43" s="28">
        <f t="shared" si="0"/>
        <v>12</v>
      </c>
      <c r="B43" s="74" t="s">
        <v>237</v>
      </c>
      <c r="C43" s="75">
        <v>1940</v>
      </c>
      <c r="D43" s="76"/>
      <c r="E43" s="70" t="s">
        <v>99</v>
      </c>
      <c r="F43" s="70">
        <v>4</v>
      </c>
      <c r="G43" s="71">
        <v>2091.6799999999998</v>
      </c>
      <c r="H43" s="70">
        <v>45</v>
      </c>
      <c r="I43" s="35">
        <f>SUMIF('2020'!B:B,B43,'2020'!C:C)+SUMIF('2021'!B:B,B43,'2021'!C:C)+SUMIF('2022'!B:B,B43,'2022'!C:C)</f>
        <v>342924.76</v>
      </c>
      <c r="J43" s="36">
        <v>44925</v>
      </c>
      <c r="K43" s="63" t="s">
        <v>151</v>
      </c>
    </row>
    <row r="44" spans="1:12" ht="17.25" customHeight="1" x14ac:dyDescent="0.3">
      <c r="A44" s="28">
        <f t="shared" si="0"/>
        <v>13</v>
      </c>
      <c r="B44" s="30" t="s">
        <v>144</v>
      </c>
      <c r="C44" s="68">
        <v>1943</v>
      </c>
      <c r="D44" s="69"/>
      <c r="E44" s="70" t="s">
        <v>105</v>
      </c>
      <c r="F44" s="70">
        <v>11</v>
      </c>
      <c r="G44" s="71">
        <v>4298.6899999999996</v>
      </c>
      <c r="H44" s="70">
        <v>103</v>
      </c>
      <c r="I44" s="35">
        <f>SUMIF('2020'!B:B,B44,'2020'!C:C)+SUMIF('2021'!B:B,B44,'2021'!C:C)+SUMIF('2022'!B:B,B44,'2022'!C:C)</f>
        <v>870516.7</v>
      </c>
      <c r="J44" s="36">
        <v>44925</v>
      </c>
      <c r="K44" s="63" t="s">
        <v>151</v>
      </c>
    </row>
    <row r="45" spans="1:12" ht="17.25" customHeight="1" x14ac:dyDescent="0.3">
      <c r="A45" s="28">
        <f>A44+1</f>
        <v>14</v>
      </c>
      <c r="B45" s="67" t="s">
        <v>236</v>
      </c>
      <c r="C45" s="68">
        <v>1940</v>
      </c>
      <c r="D45" s="69"/>
      <c r="E45" s="70" t="s">
        <v>99</v>
      </c>
      <c r="F45" s="70">
        <v>5</v>
      </c>
      <c r="G45" s="71">
        <v>2503.7399999999998</v>
      </c>
      <c r="H45" s="70">
        <v>62</v>
      </c>
      <c r="I45" s="35">
        <f>SUMIF('2020'!B:B,B45,'2020'!C:C)+SUMIF('2021'!B:B,B45,'2021'!C:C)+SUMIF('2022'!B:B,B45,'2022'!C:C)</f>
        <v>391281.5</v>
      </c>
      <c r="J45" s="72">
        <v>44925</v>
      </c>
      <c r="K45" s="73" t="s">
        <v>106</v>
      </c>
    </row>
    <row r="46" spans="1:12" ht="17.25" customHeight="1" x14ac:dyDescent="0.3">
      <c r="A46" s="28">
        <f>A45+1</f>
        <v>15</v>
      </c>
      <c r="B46" s="74" t="s">
        <v>281</v>
      </c>
      <c r="C46" s="84">
        <v>1997</v>
      </c>
      <c r="D46" s="85"/>
      <c r="E46" s="86" t="s">
        <v>99</v>
      </c>
      <c r="F46" s="21"/>
      <c r="G46" s="86">
        <v>7</v>
      </c>
      <c r="H46" s="87">
        <v>45</v>
      </c>
      <c r="I46" s="35">
        <f>SUMIF('2020'!B:B,B46,'2020'!C:C)+SUMIF('2021'!B:B,B46,'2021'!C:C)+SUMIF('2022'!B:B,B46,'2022'!C:C)</f>
        <v>130000</v>
      </c>
      <c r="J46" s="72">
        <v>44925</v>
      </c>
      <c r="K46" s="73" t="s">
        <v>106</v>
      </c>
    </row>
    <row r="47" spans="1:12" ht="17.25" customHeight="1" x14ac:dyDescent="0.3">
      <c r="A47" s="37" t="s">
        <v>35</v>
      </c>
      <c r="B47" s="30"/>
      <c r="C47" s="34" t="s">
        <v>143</v>
      </c>
      <c r="D47" s="34" t="s">
        <v>143</v>
      </c>
      <c r="E47" s="34" t="s">
        <v>143</v>
      </c>
      <c r="F47" s="34" t="s">
        <v>143</v>
      </c>
      <c r="G47" s="32">
        <f>SUM(G37:G45)</f>
        <v>36653.949999999997</v>
      </c>
      <c r="H47" s="33">
        <f>SUM(H37:H45)</f>
        <v>917</v>
      </c>
      <c r="I47" s="32">
        <f>SUM(I37:I46)</f>
        <v>3185031.4299999997</v>
      </c>
      <c r="J47" s="31" t="s">
        <v>143</v>
      </c>
      <c r="K47" s="31" t="s">
        <v>143</v>
      </c>
    </row>
    <row r="48" spans="1:12" ht="17.25" customHeight="1" x14ac:dyDescent="0.3">
      <c r="A48" s="378" t="s">
        <v>293</v>
      </c>
      <c r="B48" s="379"/>
      <c r="C48" s="84"/>
      <c r="D48" s="84"/>
      <c r="E48" s="84"/>
      <c r="F48" s="84"/>
      <c r="G48" s="88"/>
      <c r="H48" s="89"/>
      <c r="I48" s="88"/>
      <c r="J48" s="85"/>
      <c r="K48" s="85"/>
    </row>
    <row r="49" spans="1:13" ht="17.25" customHeight="1" x14ac:dyDescent="0.3">
      <c r="A49" s="28">
        <f>A46+1</f>
        <v>16</v>
      </c>
      <c r="B49" s="90" t="s">
        <v>294</v>
      </c>
      <c r="C49" s="84">
        <v>1977</v>
      </c>
      <c r="D49" s="84"/>
      <c r="E49" s="84" t="s">
        <v>100</v>
      </c>
      <c r="F49" s="84">
        <v>3</v>
      </c>
      <c r="G49" s="88">
        <v>1341.1</v>
      </c>
      <c r="H49" s="89">
        <v>59</v>
      </c>
      <c r="I49" s="35">
        <f>SUMIF('2020'!B:B,B49,'2020'!C:C)+SUMIF('2021'!B:B,B49,'2021'!C:C)+SUMIF('2022'!B:B,B49,'2022'!C:C)</f>
        <v>365141.79</v>
      </c>
      <c r="J49" s="36">
        <v>44925</v>
      </c>
      <c r="K49" s="63" t="s">
        <v>151</v>
      </c>
    </row>
    <row r="50" spans="1:13" ht="17.25" customHeight="1" x14ac:dyDescent="0.3">
      <c r="A50" s="28">
        <f>A49+1</f>
        <v>17</v>
      </c>
      <c r="B50" s="90" t="s">
        <v>295</v>
      </c>
      <c r="C50" s="84">
        <v>1976</v>
      </c>
      <c r="D50" s="84"/>
      <c r="E50" s="84" t="s">
        <v>99</v>
      </c>
      <c r="F50" s="84">
        <v>3</v>
      </c>
      <c r="G50" s="88">
        <v>1316.6</v>
      </c>
      <c r="H50" s="89">
        <v>39</v>
      </c>
      <c r="I50" s="35">
        <f>SUMIF('2020'!B:B,B50,'2020'!C:C)+SUMIF('2021'!B:B,B50,'2021'!C:C)+SUMIF('2022'!B:B,B50,'2022'!C:C)</f>
        <v>318640.69</v>
      </c>
      <c r="J50" s="36">
        <v>44925</v>
      </c>
      <c r="K50" s="63" t="s">
        <v>151</v>
      </c>
    </row>
    <row r="51" spans="1:13" ht="17.25" customHeight="1" x14ac:dyDescent="0.3">
      <c r="A51" s="28">
        <f>A50+1</f>
        <v>18</v>
      </c>
      <c r="B51" s="90" t="s">
        <v>296</v>
      </c>
      <c r="C51" s="84">
        <v>1978</v>
      </c>
      <c r="D51" s="84"/>
      <c r="E51" s="84" t="s">
        <v>99</v>
      </c>
      <c r="F51" s="84">
        <v>3</v>
      </c>
      <c r="G51" s="88">
        <v>1361.6</v>
      </c>
      <c r="H51" s="89">
        <v>54</v>
      </c>
      <c r="I51" s="35">
        <f>SUMIF('2020'!B:B,B51,'2020'!C:C)+SUMIF('2021'!B:B,B51,'2021'!C:C)+SUMIF('2022'!B:B,B51,'2022'!C:C)</f>
        <v>318640.69</v>
      </c>
      <c r="J51" s="72">
        <v>44925</v>
      </c>
      <c r="K51" s="73" t="s">
        <v>106</v>
      </c>
    </row>
    <row r="52" spans="1:13" ht="17.25" customHeight="1" x14ac:dyDescent="0.3">
      <c r="A52" s="37" t="s">
        <v>35</v>
      </c>
      <c r="B52" s="30"/>
      <c r="C52" s="34" t="s">
        <v>143</v>
      </c>
      <c r="D52" s="34" t="s">
        <v>143</v>
      </c>
      <c r="E52" s="34" t="s">
        <v>143</v>
      </c>
      <c r="F52" s="34" t="s">
        <v>143</v>
      </c>
      <c r="G52" s="32">
        <f t="shared" ref="G52:H52" si="1">SUM(G49:G51)</f>
        <v>4019.2999999999997</v>
      </c>
      <c r="H52" s="32">
        <f t="shared" si="1"/>
        <v>152</v>
      </c>
      <c r="I52" s="32">
        <f>SUM(I49:I51)</f>
        <v>1002423.1699999999</v>
      </c>
      <c r="J52" s="31" t="s">
        <v>143</v>
      </c>
      <c r="K52" s="31" t="s">
        <v>143</v>
      </c>
    </row>
    <row r="53" spans="1:13" ht="17.25" customHeight="1" x14ac:dyDescent="0.3">
      <c r="A53" s="29" t="s">
        <v>204</v>
      </c>
      <c r="B53" s="30"/>
      <c r="C53" s="31"/>
      <c r="D53" s="31"/>
      <c r="E53" s="31"/>
      <c r="F53" s="31"/>
      <c r="G53" s="66"/>
      <c r="H53" s="32"/>
      <c r="I53" s="31"/>
      <c r="J53" s="62"/>
      <c r="K53" s="62"/>
    </row>
    <row r="54" spans="1:13" ht="17.25" customHeight="1" x14ac:dyDescent="0.3">
      <c r="A54" s="28">
        <f>A51+1</f>
        <v>19</v>
      </c>
      <c r="B54" s="30" t="s">
        <v>205</v>
      </c>
      <c r="C54" s="34">
        <v>1976</v>
      </c>
      <c r="D54" s="31"/>
      <c r="E54" s="42" t="s">
        <v>100</v>
      </c>
      <c r="F54" s="42">
        <v>5</v>
      </c>
      <c r="G54" s="91" t="s">
        <v>206</v>
      </c>
      <c r="H54" s="92">
        <v>165</v>
      </c>
      <c r="I54" s="35">
        <f>SUMIF('2020'!B:B,B54,'2020'!C:C)+SUMIF('2021'!B:B,B54,'2021'!C:C)+SUMIF('2022'!B:B,B54,'2022'!C:C)</f>
        <v>1498287.23</v>
      </c>
      <c r="J54" s="36">
        <v>44925</v>
      </c>
      <c r="K54" s="40" t="s">
        <v>151</v>
      </c>
    </row>
    <row r="55" spans="1:13" ht="17.25" customHeight="1" x14ac:dyDescent="0.3">
      <c r="A55" s="37" t="s">
        <v>35</v>
      </c>
      <c r="B55" s="38"/>
      <c r="C55" s="31" t="s">
        <v>143</v>
      </c>
      <c r="D55" s="31" t="s">
        <v>143</v>
      </c>
      <c r="E55" s="31" t="s">
        <v>143</v>
      </c>
      <c r="F55" s="31" t="s">
        <v>143</v>
      </c>
      <c r="G55" s="66">
        <v>4934.3999999999996</v>
      </c>
      <c r="H55" s="33">
        <f>H54</f>
        <v>165</v>
      </c>
      <c r="I55" s="32">
        <f>I54</f>
        <v>1498287.23</v>
      </c>
      <c r="J55" s="31" t="s">
        <v>143</v>
      </c>
      <c r="K55" s="31" t="s">
        <v>143</v>
      </c>
    </row>
    <row r="56" spans="1:13" s="50" customFormat="1" ht="17.25" customHeight="1" x14ac:dyDescent="0.3">
      <c r="A56" s="44" t="s">
        <v>43</v>
      </c>
      <c r="B56" s="93"/>
      <c r="C56" s="46" t="s">
        <v>143</v>
      </c>
      <c r="D56" s="46" t="s">
        <v>143</v>
      </c>
      <c r="E56" s="46" t="s">
        <v>143</v>
      </c>
      <c r="F56" s="46" t="s">
        <v>143</v>
      </c>
      <c r="G56" s="94">
        <f>G55+G47</f>
        <v>41588.35</v>
      </c>
      <c r="H56" s="47">
        <f>H55+H47</f>
        <v>1082</v>
      </c>
      <c r="I56" s="47">
        <f>I55+I47+I52</f>
        <v>5685741.8300000001</v>
      </c>
      <c r="J56" s="46" t="s">
        <v>143</v>
      </c>
      <c r="K56" s="46" t="s">
        <v>143</v>
      </c>
      <c r="L56" s="49">
        <f>I56-'2021'!C44</f>
        <v>0</v>
      </c>
      <c r="M56" s="49">
        <f>I56-'2021'!C44</f>
        <v>0</v>
      </c>
    </row>
    <row r="57" spans="1:13" s="50" customFormat="1" x14ac:dyDescent="0.3">
      <c r="A57" s="353" t="s">
        <v>44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</row>
    <row r="58" spans="1:13" x14ac:dyDescent="0.3">
      <c r="A58" s="365" t="s">
        <v>46</v>
      </c>
      <c r="B58" s="365"/>
      <c r="C58" s="34"/>
      <c r="D58" s="35"/>
      <c r="E58" s="35"/>
      <c r="F58" s="35"/>
      <c r="G58" s="35"/>
      <c r="H58" s="26"/>
      <c r="I58" s="35"/>
      <c r="J58" s="35"/>
      <c r="K58" s="35"/>
    </row>
    <row r="59" spans="1:13" x14ac:dyDescent="0.3">
      <c r="A59" s="28">
        <f>A54+1</f>
        <v>20</v>
      </c>
      <c r="B59" s="30" t="s">
        <v>47</v>
      </c>
      <c r="C59" s="34">
        <v>1995</v>
      </c>
      <c r="D59" s="35"/>
      <c r="E59" s="34" t="s">
        <v>132</v>
      </c>
      <c r="F59" s="41" t="s">
        <v>133</v>
      </c>
      <c r="G59" s="95">
        <v>7041.9</v>
      </c>
      <c r="H59" s="96">
        <v>263</v>
      </c>
      <c r="I59" s="35">
        <f>SUMIF('2020'!B:B,B59,'2020'!C:C)+SUMIF('2021'!B:B,B59,'2021'!C:C)+SUMIF('2022'!B:B,B59,'2022'!C:C)</f>
        <v>130000</v>
      </c>
      <c r="J59" s="36">
        <v>44925</v>
      </c>
      <c r="K59" s="34" t="s">
        <v>106</v>
      </c>
    </row>
    <row r="60" spans="1:13" x14ac:dyDescent="0.3">
      <c r="A60" s="28">
        <f t="shared" ref="A60:A68" si="2">A59+1</f>
        <v>21</v>
      </c>
      <c r="B60" s="30" t="s">
        <v>49</v>
      </c>
      <c r="C60" s="34">
        <v>1995</v>
      </c>
      <c r="D60" s="35"/>
      <c r="E60" s="34" t="s">
        <v>108</v>
      </c>
      <c r="F60" s="41">
        <v>5</v>
      </c>
      <c r="G60" s="95">
        <v>4086.1</v>
      </c>
      <c r="H60" s="97">
        <v>138</v>
      </c>
      <c r="I60" s="35">
        <f>SUMIF('2020'!B:B,B60,'2020'!C:C)+SUMIF('2021'!B:B,B60,'2021'!C:C)+SUMIF('2022'!B:B,B60,'2022'!C:C)</f>
        <v>130000</v>
      </c>
      <c r="J60" s="36">
        <v>44925</v>
      </c>
      <c r="K60" s="34" t="s">
        <v>106</v>
      </c>
    </row>
    <row r="61" spans="1:13" x14ac:dyDescent="0.3">
      <c r="A61" s="28">
        <f t="shared" si="2"/>
        <v>22</v>
      </c>
      <c r="B61" s="30" t="s">
        <v>152</v>
      </c>
      <c r="C61" s="34">
        <v>1967</v>
      </c>
      <c r="D61" s="35"/>
      <c r="E61" s="34" t="s">
        <v>132</v>
      </c>
      <c r="F61" s="41">
        <v>5</v>
      </c>
      <c r="G61" s="40">
        <v>5081.5</v>
      </c>
      <c r="H61" s="41">
        <v>179</v>
      </c>
      <c r="I61" s="35">
        <f>SUMIF('2020'!B:B,B61,'2020'!C:C)+SUMIF('2021'!B:B,B61,'2021'!C:C)+SUMIF('2022'!B:B,B61,'2022'!C:C)</f>
        <v>692536.12</v>
      </c>
      <c r="J61" s="36">
        <v>44925</v>
      </c>
      <c r="K61" s="34" t="s">
        <v>151</v>
      </c>
    </row>
    <row r="62" spans="1:13" x14ac:dyDescent="0.3">
      <c r="A62" s="28">
        <f t="shared" si="2"/>
        <v>23</v>
      </c>
      <c r="B62" s="30" t="s">
        <v>153</v>
      </c>
      <c r="C62" s="34">
        <v>1982</v>
      </c>
      <c r="D62" s="35"/>
      <c r="E62" s="34" t="s">
        <v>108</v>
      </c>
      <c r="F62" s="41">
        <v>5</v>
      </c>
      <c r="G62" s="40">
        <v>13791.2</v>
      </c>
      <c r="H62" s="41">
        <v>431</v>
      </c>
      <c r="I62" s="35">
        <f>SUMIF('2020'!B:B,B62,'2020'!C:C)+SUMIF('2021'!B:B,B62,'2021'!C:C)+SUMIF('2022'!B:B,B62,'2022'!C:C)</f>
        <v>2302330.79</v>
      </c>
      <c r="J62" s="36">
        <v>44925</v>
      </c>
      <c r="K62" s="34" t="s">
        <v>151</v>
      </c>
    </row>
    <row r="63" spans="1:13" x14ac:dyDescent="0.3">
      <c r="A63" s="28">
        <f t="shared" si="2"/>
        <v>24</v>
      </c>
      <c r="B63" s="30" t="s">
        <v>51</v>
      </c>
      <c r="C63" s="34">
        <v>1958</v>
      </c>
      <c r="D63" s="35"/>
      <c r="E63" s="34" t="s">
        <v>134</v>
      </c>
      <c r="F63" s="41">
        <v>3</v>
      </c>
      <c r="G63" s="95">
        <v>1195.8</v>
      </c>
      <c r="H63" s="96">
        <v>29</v>
      </c>
      <c r="I63" s="35">
        <f>SUMIF('2020'!B:B,B63,'2020'!C:C)+SUMIF('2021'!B:B,B63,'2021'!C:C)+SUMIF('2022'!B:B,B63,'2022'!C:C)</f>
        <v>862328.91000000015</v>
      </c>
      <c r="J63" s="36">
        <v>44925</v>
      </c>
      <c r="K63" s="34" t="s">
        <v>106</v>
      </c>
    </row>
    <row r="64" spans="1:13" x14ac:dyDescent="0.3">
      <c r="A64" s="28">
        <f t="shared" si="2"/>
        <v>25</v>
      </c>
      <c r="B64" s="30" t="s">
        <v>53</v>
      </c>
      <c r="C64" s="34">
        <v>1966</v>
      </c>
      <c r="D64" s="35"/>
      <c r="E64" s="34" t="s">
        <v>135</v>
      </c>
      <c r="F64" s="41">
        <v>5</v>
      </c>
      <c r="G64" s="95">
        <v>3787</v>
      </c>
      <c r="H64" s="96">
        <v>140</v>
      </c>
      <c r="I64" s="35">
        <f>SUMIF('2020'!B:B,B64,'2020'!C:C)+SUMIF('2021'!B:B,B64,'2021'!C:C)+SUMIF('2022'!B:B,B64,'2022'!C:C)</f>
        <v>782831.04</v>
      </c>
      <c r="J64" s="36">
        <v>44925</v>
      </c>
      <c r="K64" s="34" t="s">
        <v>106</v>
      </c>
    </row>
    <row r="65" spans="1:12" x14ac:dyDescent="0.3">
      <c r="A65" s="28">
        <f t="shared" si="2"/>
        <v>26</v>
      </c>
      <c r="B65" s="30" t="s">
        <v>155</v>
      </c>
      <c r="C65" s="34">
        <v>1968</v>
      </c>
      <c r="D65" s="35"/>
      <c r="E65" s="34" t="s">
        <v>132</v>
      </c>
      <c r="F65" s="41">
        <v>3</v>
      </c>
      <c r="G65" s="40">
        <v>1348.4</v>
      </c>
      <c r="H65" s="41">
        <v>42</v>
      </c>
      <c r="I65" s="35">
        <f>SUMIF('2020'!B:B,B65,'2020'!C:C)+SUMIF('2021'!B:B,B65,'2021'!C:C)+SUMIF('2022'!B:B,B65,'2022'!C:C)</f>
        <v>542850.34</v>
      </c>
      <c r="J65" s="36">
        <v>44925</v>
      </c>
      <c r="K65" s="34" t="s">
        <v>151</v>
      </c>
    </row>
    <row r="66" spans="1:12" x14ac:dyDescent="0.3">
      <c r="A66" s="28">
        <f t="shared" si="2"/>
        <v>27</v>
      </c>
      <c r="B66" s="30" t="s">
        <v>55</v>
      </c>
      <c r="C66" s="34">
        <v>1969</v>
      </c>
      <c r="D66" s="35"/>
      <c r="E66" s="34" t="s">
        <v>108</v>
      </c>
      <c r="F66" s="41">
        <v>5</v>
      </c>
      <c r="G66" s="95">
        <v>5972.1</v>
      </c>
      <c r="H66" s="96">
        <v>200</v>
      </c>
      <c r="I66" s="35">
        <f>SUMIF('2020'!B:B,B66,'2020'!C:C)+SUMIF('2021'!B:B,B66,'2021'!C:C)+SUMIF('2022'!B:B,B66,'2022'!C:C)</f>
        <v>858673.53999999992</v>
      </c>
      <c r="J66" s="36">
        <v>44925</v>
      </c>
      <c r="K66" s="34" t="s">
        <v>106</v>
      </c>
    </row>
    <row r="67" spans="1:12" x14ac:dyDescent="0.3">
      <c r="A67" s="28">
        <f t="shared" si="2"/>
        <v>28</v>
      </c>
      <c r="B67" s="30" t="s">
        <v>156</v>
      </c>
      <c r="C67" s="34">
        <v>1965</v>
      </c>
      <c r="D67" s="35"/>
      <c r="E67" s="34" t="s">
        <v>132</v>
      </c>
      <c r="F67" s="41">
        <v>5</v>
      </c>
      <c r="G67" s="40">
        <v>2531.77</v>
      </c>
      <c r="H67" s="41">
        <v>123</v>
      </c>
      <c r="I67" s="35">
        <f>SUMIF('2020'!B:B,B67,'2020'!C:C)+SUMIF('2021'!B:B,B67,'2021'!C:C)+SUMIF('2022'!B:B,B67,'2022'!C:C)</f>
        <v>881946.48</v>
      </c>
      <c r="J67" s="36">
        <v>44925</v>
      </c>
      <c r="K67" s="34" t="s">
        <v>151</v>
      </c>
    </row>
    <row r="68" spans="1:12" x14ac:dyDescent="0.3">
      <c r="A68" s="28">
        <f t="shared" si="2"/>
        <v>29</v>
      </c>
      <c r="B68" s="30" t="s">
        <v>157</v>
      </c>
      <c r="C68" s="34">
        <v>1969</v>
      </c>
      <c r="D68" s="35"/>
      <c r="E68" s="34" t="s">
        <v>132</v>
      </c>
      <c r="F68" s="41">
        <v>5</v>
      </c>
      <c r="G68" s="40">
        <v>3419.88</v>
      </c>
      <c r="H68" s="41">
        <v>171</v>
      </c>
      <c r="I68" s="35">
        <f>SUMIF('2020'!B:B,B68,'2020'!C:C)+SUMIF('2021'!B:B,B68,'2021'!C:C)+SUMIF('2022'!B:B,B68,'2022'!C:C)</f>
        <v>776662.74</v>
      </c>
      <c r="J68" s="36">
        <v>44925</v>
      </c>
      <c r="K68" s="34" t="s">
        <v>151</v>
      </c>
    </row>
    <row r="69" spans="1:12" x14ac:dyDescent="0.3">
      <c r="A69" s="28">
        <f t="shared" ref="A69:A74" si="3">A68+1</f>
        <v>30</v>
      </c>
      <c r="B69" s="30" t="s">
        <v>207</v>
      </c>
      <c r="C69" s="34">
        <v>1976</v>
      </c>
      <c r="D69" s="35"/>
      <c r="E69" s="34" t="s">
        <v>132</v>
      </c>
      <c r="F69" s="41">
        <v>5</v>
      </c>
      <c r="G69" s="40">
        <v>2267.1999999999998</v>
      </c>
      <c r="H69" s="41">
        <v>105</v>
      </c>
      <c r="I69" s="35">
        <f>SUMIF('2020'!B:B,B69,'2020'!C:C)+SUMIF('2021'!B:B,B69,'2021'!C:C)+SUMIF('2022'!B:B,B69,'2022'!C:C)</f>
        <v>133829</v>
      </c>
      <c r="J69" s="36">
        <v>44925</v>
      </c>
      <c r="K69" s="34" t="s">
        <v>151</v>
      </c>
    </row>
    <row r="70" spans="1:12" x14ac:dyDescent="0.3">
      <c r="A70" s="28">
        <f t="shared" si="3"/>
        <v>31</v>
      </c>
      <c r="B70" s="30" t="s">
        <v>158</v>
      </c>
      <c r="C70" s="34">
        <v>1977</v>
      </c>
      <c r="D70" s="35"/>
      <c r="E70" s="34" t="s">
        <v>159</v>
      </c>
      <c r="F70" s="41">
        <v>5</v>
      </c>
      <c r="G70" s="40">
        <v>2986</v>
      </c>
      <c r="H70" s="41">
        <v>78</v>
      </c>
      <c r="I70" s="35">
        <f>SUMIF('2020'!B:B,B70,'2020'!C:C)+SUMIF('2021'!B:B,B70,'2021'!C:C)+SUMIF('2022'!B:B,B70,'2022'!C:C)</f>
        <v>803479.8</v>
      </c>
      <c r="J70" s="36">
        <v>44925</v>
      </c>
      <c r="K70" s="34" t="s">
        <v>151</v>
      </c>
    </row>
    <row r="71" spans="1:12" x14ac:dyDescent="0.3">
      <c r="A71" s="28">
        <f t="shared" si="3"/>
        <v>32</v>
      </c>
      <c r="B71" s="30" t="s">
        <v>57</v>
      </c>
      <c r="C71" s="34">
        <v>1966</v>
      </c>
      <c r="D71" s="35"/>
      <c r="E71" s="34" t="s">
        <v>135</v>
      </c>
      <c r="F71" s="41">
        <v>5</v>
      </c>
      <c r="G71" s="95">
        <v>3787</v>
      </c>
      <c r="H71" s="96">
        <v>151</v>
      </c>
      <c r="I71" s="35">
        <f>SUMIF('2020'!B:B,B71,'2020'!C:C)+SUMIF('2021'!B:B,B71,'2021'!C:C)+SUMIF('2022'!B:B,B71,'2022'!C:C)</f>
        <v>777297.84</v>
      </c>
      <c r="J71" s="36">
        <v>44925</v>
      </c>
      <c r="K71" s="34" t="s">
        <v>106</v>
      </c>
    </row>
    <row r="72" spans="1:12" x14ac:dyDescent="0.3">
      <c r="A72" s="28">
        <f t="shared" si="3"/>
        <v>33</v>
      </c>
      <c r="B72" s="30" t="s">
        <v>58</v>
      </c>
      <c r="C72" s="34">
        <v>1968</v>
      </c>
      <c r="D72" s="35"/>
      <c r="E72" s="34" t="s">
        <v>135</v>
      </c>
      <c r="F72" s="41">
        <v>5</v>
      </c>
      <c r="G72" s="95">
        <v>3607</v>
      </c>
      <c r="H72" s="96">
        <v>148</v>
      </c>
      <c r="I72" s="35">
        <f>SUMIF('2020'!B:B,B72,'2020'!C:C)+SUMIF('2021'!B:B,B72,'2021'!C:C)+SUMIF('2022'!B:B,B72,'2022'!C:C)</f>
        <v>729079.54</v>
      </c>
      <c r="J72" s="36">
        <v>44925</v>
      </c>
      <c r="K72" s="34" t="s">
        <v>106</v>
      </c>
    </row>
    <row r="73" spans="1:12" x14ac:dyDescent="0.3">
      <c r="A73" s="28">
        <f t="shared" si="3"/>
        <v>34</v>
      </c>
      <c r="B73" s="30" t="s">
        <v>59</v>
      </c>
      <c r="C73" s="34">
        <v>1968</v>
      </c>
      <c r="D73" s="35"/>
      <c r="E73" s="34" t="s">
        <v>135</v>
      </c>
      <c r="F73" s="41">
        <v>5</v>
      </c>
      <c r="G73" s="95">
        <v>3607</v>
      </c>
      <c r="H73" s="96">
        <v>148</v>
      </c>
      <c r="I73" s="35">
        <f>SUMIF('2020'!B:B,B73,'2020'!C:C)+SUMIF('2021'!B:B,B73,'2021'!C:C)+SUMIF('2022'!B:B,B73,'2022'!C:C)</f>
        <v>729079.54</v>
      </c>
      <c r="J73" s="36">
        <v>44925</v>
      </c>
      <c r="K73" s="34" t="s">
        <v>106</v>
      </c>
    </row>
    <row r="74" spans="1:12" x14ac:dyDescent="0.3">
      <c r="A74" s="28">
        <f t="shared" si="3"/>
        <v>35</v>
      </c>
      <c r="B74" s="30" t="s">
        <v>60</v>
      </c>
      <c r="C74" s="34">
        <v>1970</v>
      </c>
      <c r="D74" s="35"/>
      <c r="E74" s="34" t="s">
        <v>108</v>
      </c>
      <c r="F74" s="41">
        <v>5</v>
      </c>
      <c r="G74" s="95">
        <v>5892.36</v>
      </c>
      <c r="H74" s="96">
        <v>181</v>
      </c>
      <c r="I74" s="35">
        <f>SUMIF('2020'!B:B,B74,'2020'!C:C)+SUMIF('2021'!B:B,B74,'2021'!C:C)+SUMIF('2022'!B:B,B74,'2022'!C:C)</f>
        <v>859792.65999999992</v>
      </c>
      <c r="J74" s="36">
        <v>44925</v>
      </c>
      <c r="K74" s="34" t="s">
        <v>106</v>
      </c>
    </row>
    <row r="75" spans="1:12" x14ac:dyDescent="0.3">
      <c r="A75" s="28"/>
      <c r="B75" s="30" t="s">
        <v>35</v>
      </c>
      <c r="C75" s="34" t="s">
        <v>143</v>
      </c>
      <c r="D75" s="34" t="s">
        <v>143</v>
      </c>
      <c r="E75" s="34" t="s">
        <v>143</v>
      </c>
      <c r="F75" s="34" t="s">
        <v>143</v>
      </c>
      <c r="G75" s="35">
        <f>SUM(G59:G74)</f>
        <v>70402.209999999992</v>
      </c>
      <c r="H75" s="26">
        <f>SUM(H59:H74)</f>
        <v>2527</v>
      </c>
      <c r="I75" s="35">
        <f>SUM(I59:I74)</f>
        <v>11992718.34</v>
      </c>
      <c r="J75" s="35" t="s">
        <v>143</v>
      </c>
      <c r="K75" s="35" t="s">
        <v>143</v>
      </c>
    </row>
    <row r="76" spans="1:12" s="50" customFormat="1" x14ac:dyDescent="0.3">
      <c r="A76" s="355" t="s">
        <v>61</v>
      </c>
      <c r="B76" s="355"/>
      <c r="C76" s="98" t="s">
        <v>143</v>
      </c>
      <c r="D76" s="98" t="s">
        <v>143</v>
      </c>
      <c r="E76" s="98" t="s">
        <v>143</v>
      </c>
      <c r="F76" s="98" t="s">
        <v>143</v>
      </c>
      <c r="G76" s="98">
        <f>G75</f>
        <v>70402.209999999992</v>
      </c>
      <c r="H76" s="99">
        <f>H75</f>
        <v>2527</v>
      </c>
      <c r="I76" s="98">
        <f>I75</f>
        <v>11992718.34</v>
      </c>
      <c r="J76" s="98" t="s">
        <v>143</v>
      </c>
      <c r="K76" s="98" t="s">
        <v>143</v>
      </c>
      <c r="L76" s="49">
        <f>I76-'2021'!C64</f>
        <v>0</v>
      </c>
    </row>
    <row r="77" spans="1:12" s="50" customFormat="1" x14ac:dyDescent="0.3">
      <c r="A77" s="353" t="s">
        <v>161</v>
      </c>
      <c r="B77" s="353"/>
      <c r="C77" s="353"/>
      <c r="D77" s="353"/>
      <c r="E77" s="353"/>
      <c r="F77" s="353"/>
      <c r="G77" s="353"/>
      <c r="H77" s="353"/>
      <c r="I77" s="353"/>
      <c r="J77" s="353"/>
      <c r="K77" s="100"/>
    </row>
    <row r="78" spans="1:12" x14ac:dyDescent="0.3">
      <c r="A78" s="355" t="s">
        <v>162</v>
      </c>
      <c r="B78" s="355"/>
      <c r="C78" s="35"/>
      <c r="D78" s="101"/>
      <c r="E78" s="101"/>
      <c r="F78" s="101"/>
      <c r="G78" s="27"/>
      <c r="H78" s="35"/>
      <c r="I78" s="35"/>
      <c r="J78" s="35"/>
      <c r="K78" s="62"/>
    </row>
    <row r="79" spans="1:12" x14ac:dyDescent="0.3">
      <c r="A79" s="28">
        <f>A74+1</f>
        <v>36</v>
      </c>
      <c r="B79" s="30" t="s">
        <v>163</v>
      </c>
      <c r="C79" s="34">
        <v>1989</v>
      </c>
      <c r="D79" s="101"/>
      <c r="E79" s="101" t="s">
        <v>164</v>
      </c>
      <c r="F79" s="27">
        <v>3</v>
      </c>
      <c r="G79" s="35">
        <v>1454.1</v>
      </c>
      <c r="H79" s="27">
        <v>54</v>
      </c>
      <c r="I79" s="35">
        <f>SUMIF('2020'!B:B,B79,'2020'!C:C)+SUMIF('2021'!B:B,B79,'2021'!C:C)+SUMIF('2022'!B:B,B79,'2022'!C:C)</f>
        <v>81159</v>
      </c>
      <c r="J79" s="36">
        <v>44925</v>
      </c>
      <c r="K79" s="35" t="s">
        <v>151</v>
      </c>
    </row>
    <row r="80" spans="1:12" x14ac:dyDescent="0.3">
      <c r="A80" s="28"/>
      <c r="B80" s="30" t="s">
        <v>35</v>
      </c>
      <c r="C80" s="35" t="s">
        <v>143</v>
      </c>
      <c r="D80" s="35" t="s">
        <v>143</v>
      </c>
      <c r="E80" s="35" t="s">
        <v>143</v>
      </c>
      <c r="F80" s="35" t="s">
        <v>143</v>
      </c>
      <c r="G80" s="35">
        <f>SUM(G79:G79)</f>
        <v>1454.1</v>
      </c>
      <c r="H80" s="26">
        <f>SUM(H79:H79)</f>
        <v>54</v>
      </c>
      <c r="I80" s="35">
        <f>SUM(I79:I79)</f>
        <v>81159</v>
      </c>
      <c r="J80" s="35" t="s">
        <v>143</v>
      </c>
      <c r="K80" s="62"/>
    </row>
    <row r="81" spans="1:12" s="50" customFormat="1" x14ac:dyDescent="0.3">
      <c r="A81" s="355" t="s">
        <v>233</v>
      </c>
      <c r="B81" s="355"/>
      <c r="C81" s="98" t="s">
        <v>143</v>
      </c>
      <c r="D81" s="98" t="s">
        <v>143</v>
      </c>
      <c r="E81" s="98" t="s">
        <v>143</v>
      </c>
      <c r="F81" s="98" t="s">
        <v>143</v>
      </c>
      <c r="G81" s="98">
        <f>G80</f>
        <v>1454.1</v>
      </c>
      <c r="H81" s="99">
        <f>H80</f>
        <v>54</v>
      </c>
      <c r="I81" s="98">
        <f>I80</f>
        <v>81159</v>
      </c>
      <c r="J81" s="98" t="s">
        <v>143</v>
      </c>
      <c r="K81" s="98" t="s">
        <v>143</v>
      </c>
    </row>
    <row r="82" spans="1:12" s="50" customFormat="1" x14ac:dyDescent="0.3">
      <c r="A82" s="353" t="s">
        <v>62</v>
      </c>
      <c r="B82" s="353"/>
      <c r="C82" s="353"/>
      <c r="D82" s="353"/>
      <c r="E82" s="353"/>
      <c r="F82" s="353"/>
      <c r="G82" s="353"/>
      <c r="H82" s="353"/>
      <c r="I82" s="353"/>
      <c r="J82" s="353"/>
      <c r="K82" s="353"/>
    </row>
    <row r="83" spans="1:12" x14ac:dyDescent="0.3">
      <c r="A83" s="355" t="s">
        <v>63</v>
      </c>
      <c r="B83" s="355"/>
      <c r="C83" s="35"/>
      <c r="D83" s="101"/>
      <c r="E83" s="98"/>
      <c r="F83" s="98"/>
      <c r="G83" s="98"/>
      <c r="H83" s="99"/>
      <c r="I83" s="98"/>
      <c r="J83" s="98"/>
      <c r="K83" s="98"/>
    </row>
    <row r="84" spans="1:12" x14ac:dyDescent="0.3">
      <c r="A84" s="28">
        <f>A79+1</f>
        <v>37</v>
      </c>
      <c r="B84" s="30" t="s">
        <v>64</v>
      </c>
      <c r="C84" s="34">
        <v>1978</v>
      </c>
      <c r="D84" s="101"/>
      <c r="E84" s="42" t="s">
        <v>101</v>
      </c>
      <c r="F84" s="42">
        <v>5</v>
      </c>
      <c r="G84" s="102">
        <v>6129.6</v>
      </c>
      <c r="H84" s="43">
        <v>239</v>
      </c>
      <c r="I84" s="35">
        <f>SUMIF('2020'!B:B,B84,'2020'!C:C)+SUMIF('2021'!B:B,B84,'2021'!C:C)+SUMIF('2022'!B:B,B84,'2022'!C:C)</f>
        <v>164944</v>
      </c>
      <c r="J84" s="36">
        <v>44925</v>
      </c>
      <c r="K84" s="35" t="s">
        <v>106</v>
      </c>
    </row>
    <row r="85" spans="1:12" x14ac:dyDescent="0.3">
      <c r="A85" s="28">
        <f t="shared" ref="A85:A91" si="4">A84+1</f>
        <v>38</v>
      </c>
      <c r="B85" s="30" t="s">
        <v>65</v>
      </c>
      <c r="C85" s="34">
        <v>1977</v>
      </c>
      <c r="D85" s="101"/>
      <c r="E85" s="42" t="s">
        <v>136</v>
      </c>
      <c r="F85" s="42">
        <v>5</v>
      </c>
      <c r="G85" s="102">
        <v>5964.3</v>
      </c>
      <c r="H85" s="43">
        <v>319</v>
      </c>
      <c r="I85" s="35">
        <f>SUMIF('2020'!B:B,B85,'2020'!C:C)+SUMIF('2021'!B:B,B85,'2021'!C:C)+SUMIF('2022'!B:B,B85,'2022'!C:C)</f>
        <v>1207707.6499999999</v>
      </c>
      <c r="J85" s="36">
        <v>44925</v>
      </c>
      <c r="K85" s="35" t="s">
        <v>106</v>
      </c>
    </row>
    <row r="86" spans="1:12" x14ac:dyDescent="0.3">
      <c r="A86" s="28">
        <f t="shared" si="4"/>
        <v>39</v>
      </c>
      <c r="B86" s="30" t="s">
        <v>166</v>
      </c>
      <c r="C86" s="34">
        <v>1976</v>
      </c>
      <c r="D86" s="101"/>
      <c r="E86" s="31" t="s">
        <v>101</v>
      </c>
      <c r="F86" s="31">
        <v>9</v>
      </c>
      <c r="G86" s="31">
        <v>7589.8</v>
      </c>
      <c r="H86" s="61">
        <v>371</v>
      </c>
      <c r="I86" s="35">
        <f>SUMIF('2020'!B:B,B86,'2020'!C:C)+SUMIF('2021'!B:B,B86,'2021'!C:C)+SUMIF('2022'!B:B,B86,'2022'!C:C)</f>
        <v>739312.52</v>
      </c>
      <c r="J86" s="36">
        <v>44925</v>
      </c>
      <c r="K86" s="35" t="s">
        <v>151</v>
      </c>
    </row>
    <row r="87" spans="1:12" x14ac:dyDescent="0.3">
      <c r="A87" s="28">
        <f t="shared" si="4"/>
        <v>40</v>
      </c>
      <c r="B87" s="30" t="s">
        <v>209</v>
      </c>
      <c r="C87" s="34">
        <v>1968</v>
      </c>
      <c r="D87" s="101"/>
      <c r="E87" s="42" t="s">
        <v>102</v>
      </c>
      <c r="F87" s="42">
        <v>5</v>
      </c>
      <c r="G87" s="42">
        <v>3349.7</v>
      </c>
      <c r="H87" s="92">
        <v>163</v>
      </c>
      <c r="I87" s="35">
        <f>SUMIF('2020'!B:B,B87,'2020'!C:C)+SUMIF('2021'!B:B,B87,'2021'!C:C)+SUMIF('2022'!B:B,B87,'2022'!C:C)</f>
        <v>1072983.67</v>
      </c>
      <c r="J87" s="36">
        <v>44925</v>
      </c>
      <c r="K87" s="35" t="s">
        <v>151</v>
      </c>
    </row>
    <row r="88" spans="1:12" x14ac:dyDescent="0.3">
      <c r="A88" s="28">
        <f t="shared" si="4"/>
        <v>41</v>
      </c>
      <c r="B88" s="30" t="s">
        <v>167</v>
      </c>
      <c r="C88" s="34">
        <v>1974</v>
      </c>
      <c r="D88" s="101"/>
      <c r="E88" s="31" t="s">
        <v>101</v>
      </c>
      <c r="F88" s="31">
        <v>5</v>
      </c>
      <c r="G88" s="31">
        <v>9093.6</v>
      </c>
      <c r="H88" s="61">
        <v>391</v>
      </c>
      <c r="I88" s="35">
        <f>SUMIF('2020'!B:B,B88,'2020'!C:C)+SUMIF('2021'!B:B,B88,'2021'!C:C)+SUMIF('2022'!B:B,B88,'2022'!C:C)</f>
        <v>2183445.64</v>
      </c>
      <c r="J88" s="36">
        <v>44925</v>
      </c>
      <c r="K88" s="35" t="s">
        <v>151</v>
      </c>
    </row>
    <row r="89" spans="1:12" x14ac:dyDescent="0.3">
      <c r="A89" s="28">
        <f t="shared" si="4"/>
        <v>42</v>
      </c>
      <c r="B89" s="30" t="s">
        <v>168</v>
      </c>
      <c r="C89" s="34">
        <v>1977</v>
      </c>
      <c r="D89" s="101"/>
      <c r="E89" s="31" t="s">
        <v>101</v>
      </c>
      <c r="F89" s="42">
        <v>9</v>
      </c>
      <c r="G89" s="42">
        <v>8247.6</v>
      </c>
      <c r="H89" s="92">
        <v>411</v>
      </c>
      <c r="I89" s="35">
        <f>SUMIF('2020'!B:B,B89,'2020'!C:C)+SUMIF('2021'!B:B,B89,'2021'!C:C)+SUMIF('2022'!B:B,B89,'2022'!C:C)</f>
        <v>1949742.6</v>
      </c>
      <c r="J89" s="36">
        <v>44925</v>
      </c>
      <c r="K89" s="35" t="s">
        <v>151</v>
      </c>
    </row>
    <row r="90" spans="1:12" x14ac:dyDescent="0.3">
      <c r="A90" s="28">
        <f t="shared" si="4"/>
        <v>43</v>
      </c>
      <c r="B90" s="30" t="s">
        <v>145</v>
      </c>
      <c r="C90" s="34"/>
      <c r="D90" s="101"/>
      <c r="E90" s="42"/>
      <c r="F90" s="42"/>
      <c r="G90" s="35"/>
      <c r="H90" s="102"/>
      <c r="I90" s="35">
        <f>SUMIF('2020'!B:B,B90,'2020'!C:C)+SUMIF('2021'!B:B,B90,'2021'!C:C)+SUMIF('2022'!B:B,B90,'2022'!C:C)</f>
        <v>110000</v>
      </c>
      <c r="J90" s="36">
        <v>44925</v>
      </c>
      <c r="K90" s="35" t="s">
        <v>151</v>
      </c>
    </row>
    <row r="91" spans="1:12" x14ac:dyDescent="0.3">
      <c r="A91" s="28">
        <f t="shared" si="4"/>
        <v>44</v>
      </c>
      <c r="B91" s="30" t="s">
        <v>169</v>
      </c>
      <c r="C91" s="34">
        <v>1976</v>
      </c>
      <c r="D91" s="101"/>
      <c r="E91" s="31" t="s">
        <v>101</v>
      </c>
      <c r="F91" s="31">
        <v>5</v>
      </c>
      <c r="G91" s="31">
        <v>2713.8</v>
      </c>
      <c r="H91" s="61">
        <v>164</v>
      </c>
      <c r="I91" s="35">
        <f>SUMIF('2020'!B:B,B91,'2020'!C:C)+SUMIF('2021'!B:B,B91,'2021'!C:C)+SUMIF('2022'!B:B,B91,'2022'!C:C)</f>
        <v>130000</v>
      </c>
      <c r="J91" s="36">
        <v>44925</v>
      </c>
      <c r="K91" s="35" t="s">
        <v>151</v>
      </c>
    </row>
    <row r="92" spans="1:12" x14ac:dyDescent="0.3">
      <c r="A92" s="28"/>
      <c r="B92" s="30" t="s">
        <v>35</v>
      </c>
      <c r="C92" s="35" t="s">
        <v>143</v>
      </c>
      <c r="D92" s="35" t="s">
        <v>143</v>
      </c>
      <c r="E92" s="35" t="s">
        <v>143</v>
      </c>
      <c r="F92" s="35" t="s">
        <v>143</v>
      </c>
      <c r="G92" s="35">
        <f>SUM(G84:G91)</f>
        <v>43088.4</v>
      </c>
      <c r="H92" s="26">
        <f>SUM(H84:H91)</f>
        <v>2058</v>
      </c>
      <c r="I92" s="35">
        <f>SUM(I84:I91)</f>
        <v>7558136.0800000001</v>
      </c>
      <c r="J92" s="35" t="s">
        <v>143</v>
      </c>
      <c r="K92" s="35" t="s">
        <v>143</v>
      </c>
    </row>
    <row r="93" spans="1:12" s="50" customFormat="1" x14ac:dyDescent="0.3">
      <c r="A93" s="355" t="s">
        <v>146</v>
      </c>
      <c r="B93" s="355"/>
      <c r="C93" s="98" t="s">
        <v>143</v>
      </c>
      <c r="D93" s="98" t="s">
        <v>143</v>
      </c>
      <c r="E93" s="98" t="s">
        <v>143</v>
      </c>
      <c r="F93" s="98" t="s">
        <v>143</v>
      </c>
      <c r="G93" s="98">
        <f>G92</f>
        <v>43088.4</v>
      </c>
      <c r="H93" s="99">
        <f>H92</f>
        <v>2058</v>
      </c>
      <c r="I93" s="98">
        <f>I92</f>
        <v>7558136.0800000001</v>
      </c>
      <c r="J93" s="98" t="s">
        <v>143</v>
      </c>
      <c r="K93" s="98" t="s">
        <v>143</v>
      </c>
      <c r="L93" s="49">
        <f>I93-'2021'!C70-'2022'!C25</f>
        <v>0</v>
      </c>
    </row>
    <row r="94" spans="1:12" x14ac:dyDescent="0.3">
      <c r="A94" s="360" t="s">
        <v>67</v>
      </c>
      <c r="B94" s="360"/>
      <c r="C94" s="360"/>
      <c r="D94" s="360"/>
      <c r="E94" s="360"/>
      <c r="F94" s="360"/>
      <c r="G94" s="360"/>
      <c r="H94" s="360"/>
      <c r="I94" s="360"/>
      <c r="J94" s="360"/>
      <c r="K94" s="360"/>
    </row>
    <row r="95" spans="1:12" x14ac:dyDescent="0.3">
      <c r="A95" s="15" t="s">
        <v>290</v>
      </c>
      <c r="B95" s="103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2" x14ac:dyDescent="0.3">
      <c r="A96" s="105">
        <f>A91+1</f>
        <v>45</v>
      </c>
      <c r="B96" s="106" t="s">
        <v>291</v>
      </c>
      <c r="C96" s="84">
        <v>1993</v>
      </c>
      <c r="D96" s="21"/>
      <c r="E96" s="107" t="s">
        <v>292</v>
      </c>
      <c r="F96" s="105">
        <v>5</v>
      </c>
      <c r="G96" s="107">
        <v>4562.5</v>
      </c>
      <c r="H96" s="105">
        <v>146</v>
      </c>
      <c r="I96" s="35">
        <f>SUMIF('2020'!B:B,B96,'2020'!C:C)+SUMIF('2021'!B:B,B96,'2021'!C:C)+SUMIF('2022'!B:B,B96,'2022'!C:C)</f>
        <v>18171000</v>
      </c>
      <c r="J96" s="36">
        <v>44925</v>
      </c>
      <c r="K96" s="35" t="s">
        <v>106</v>
      </c>
    </row>
    <row r="97" spans="1:12" x14ac:dyDescent="0.3">
      <c r="A97" s="108" t="s">
        <v>35</v>
      </c>
      <c r="B97" s="109"/>
      <c r="C97" s="104"/>
      <c r="D97" s="104"/>
      <c r="E97" s="104"/>
      <c r="F97" s="104"/>
      <c r="G97" s="104">
        <f>SUM(G96:G96)</f>
        <v>4562.5</v>
      </c>
      <c r="H97" s="104">
        <f>SUM(H96:H96)</f>
        <v>146</v>
      </c>
      <c r="I97" s="104">
        <f>SUM(I96:I96)</f>
        <v>18171000</v>
      </c>
      <c r="J97" s="104"/>
      <c r="K97" s="104"/>
    </row>
    <row r="98" spans="1:12" x14ac:dyDescent="0.3">
      <c r="A98" s="356" t="s">
        <v>68</v>
      </c>
      <c r="B98" s="356"/>
      <c r="C98" s="35"/>
      <c r="D98" s="101"/>
      <c r="E98" s="101"/>
      <c r="F98" s="101"/>
      <c r="G98" s="35"/>
      <c r="H98" s="26"/>
      <c r="I98" s="35"/>
      <c r="J98" s="110"/>
      <c r="K98" s="35"/>
    </row>
    <row r="99" spans="1:12" x14ac:dyDescent="0.3">
      <c r="A99" s="27">
        <f>A96+1</f>
        <v>46</v>
      </c>
      <c r="B99" s="30" t="s">
        <v>210</v>
      </c>
      <c r="C99" s="34">
        <v>1975</v>
      </c>
      <c r="D99" s="101"/>
      <c r="E99" s="101" t="s">
        <v>100</v>
      </c>
      <c r="F99" s="27">
        <v>5</v>
      </c>
      <c r="G99" s="101">
        <v>6728.7</v>
      </c>
      <c r="H99" s="27">
        <v>130</v>
      </c>
      <c r="I99" s="35">
        <f>SUMIF('2020'!B:B,B99,'2020'!C:C)+SUMIF('2021'!B:B,B99,'2021'!C:C)+SUMIF('2022'!B:B,B99,'2022'!C:C)</f>
        <v>130000</v>
      </c>
      <c r="J99" s="36">
        <v>44925</v>
      </c>
      <c r="K99" s="35" t="s">
        <v>151</v>
      </c>
    </row>
    <row r="100" spans="1:12" x14ac:dyDescent="0.3">
      <c r="A100" s="28">
        <f>A99+1</f>
        <v>47</v>
      </c>
      <c r="B100" s="30" t="s">
        <v>69</v>
      </c>
      <c r="C100" s="34">
        <v>1976</v>
      </c>
      <c r="D100" s="101"/>
      <c r="E100" s="101"/>
      <c r="F100" s="101"/>
      <c r="G100" s="35"/>
      <c r="H100" s="26"/>
      <c r="I100" s="35">
        <f>SUMIF('2020'!B:B,B100,'2020'!C:C)+SUMIF('2021'!B:B,B100,'2021'!C:C)+SUMIF('2022'!B:B,B100,'2022'!C:C)</f>
        <v>130000</v>
      </c>
      <c r="J100" s="36">
        <v>44925</v>
      </c>
      <c r="K100" s="35" t="s">
        <v>106</v>
      </c>
    </row>
    <row r="101" spans="1:12" x14ac:dyDescent="0.3">
      <c r="A101" s="28">
        <f>A100+1</f>
        <v>48</v>
      </c>
      <c r="B101" s="30" t="s">
        <v>70</v>
      </c>
      <c r="C101" s="34">
        <v>1974</v>
      </c>
      <c r="D101" s="101"/>
      <c r="E101" s="101"/>
      <c r="F101" s="101"/>
      <c r="G101" s="35"/>
      <c r="H101" s="26"/>
      <c r="I101" s="35">
        <f>SUMIF('2020'!B:B,B101,'2020'!C:C)+SUMIF('2021'!B:B,B101,'2021'!C:C)+SUMIF('2022'!B:B,B101,'2022'!C:C)</f>
        <v>130000</v>
      </c>
      <c r="J101" s="36">
        <v>44925</v>
      </c>
      <c r="K101" s="35" t="s">
        <v>106</v>
      </c>
    </row>
    <row r="102" spans="1:12" x14ac:dyDescent="0.3">
      <c r="A102" s="28">
        <f>A101+1</f>
        <v>49</v>
      </c>
      <c r="B102" s="30" t="s">
        <v>71</v>
      </c>
      <c r="C102" s="34">
        <v>1973</v>
      </c>
      <c r="D102" s="101"/>
      <c r="E102" s="101"/>
      <c r="F102" s="101"/>
      <c r="G102" s="35"/>
      <c r="H102" s="26"/>
      <c r="I102" s="35">
        <f>SUMIF('2020'!B:B,B102,'2020'!C:C)+SUMIF('2021'!B:B,B102,'2021'!C:C)+SUMIF('2022'!B:B,B102,'2022'!C:C)</f>
        <v>130000</v>
      </c>
      <c r="J102" s="36">
        <v>44925</v>
      </c>
      <c r="K102" s="35" t="s">
        <v>106</v>
      </c>
    </row>
    <row r="103" spans="1:12" x14ac:dyDescent="0.3">
      <c r="A103" s="350" t="s">
        <v>35</v>
      </c>
      <c r="B103" s="350"/>
      <c r="C103" s="35" t="s">
        <v>143</v>
      </c>
      <c r="D103" s="35" t="s">
        <v>143</v>
      </c>
      <c r="E103" s="35" t="s">
        <v>143</v>
      </c>
      <c r="F103" s="35" t="s">
        <v>143</v>
      </c>
      <c r="G103" s="35">
        <f>SUM(G99:G102)</f>
        <v>6728.7</v>
      </c>
      <c r="H103" s="35">
        <f t="shared" ref="H103:I103" si="5">SUM(H99:H102)</f>
        <v>130</v>
      </c>
      <c r="I103" s="35">
        <f t="shared" si="5"/>
        <v>520000</v>
      </c>
      <c r="J103" s="35" t="s">
        <v>143</v>
      </c>
      <c r="K103" s="35" t="s">
        <v>143</v>
      </c>
    </row>
    <row r="104" spans="1:12" x14ac:dyDescent="0.3">
      <c r="A104" s="356" t="s">
        <v>170</v>
      </c>
      <c r="B104" s="356"/>
      <c r="C104" s="35"/>
      <c r="D104" s="101"/>
      <c r="E104" s="101"/>
      <c r="F104" s="101"/>
      <c r="G104" s="27"/>
      <c r="H104" s="26"/>
      <c r="I104" s="110"/>
      <c r="J104" s="35"/>
      <c r="K104" s="62"/>
    </row>
    <row r="105" spans="1:12" x14ac:dyDescent="0.3">
      <c r="A105" s="28">
        <f>A102+1</f>
        <v>50</v>
      </c>
      <c r="B105" s="30" t="s">
        <v>171</v>
      </c>
      <c r="C105" s="34">
        <v>1975</v>
      </c>
      <c r="D105" s="101"/>
      <c r="E105" s="101"/>
      <c r="F105" s="27">
        <v>5</v>
      </c>
      <c r="G105" s="101">
        <v>1944.1</v>
      </c>
      <c r="H105" s="26">
        <v>65</v>
      </c>
      <c r="I105" s="35">
        <f>SUMIF('2020'!B:B,B105,'2020'!C:C)+SUMIF('2021'!B:B,B105,'2021'!C:C)+SUMIF('2022'!B:B,B105,'2022'!C:C)</f>
        <v>580271.29</v>
      </c>
      <c r="J105" s="36">
        <v>44925</v>
      </c>
      <c r="K105" s="35" t="s">
        <v>151</v>
      </c>
    </row>
    <row r="106" spans="1:12" x14ac:dyDescent="0.3">
      <c r="A106" s="350" t="s">
        <v>35</v>
      </c>
      <c r="B106" s="350"/>
      <c r="C106" s="34" t="s">
        <v>143</v>
      </c>
      <c r="D106" s="34" t="s">
        <v>143</v>
      </c>
      <c r="E106" s="34" t="s">
        <v>143</v>
      </c>
      <c r="F106" s="34" t="s">
        <v>143</v>
      </c>
      <c r="G106" s="35">
        <f>SUM(G105)</f>
        <v>1944.1</v>
      </c>
      <c r="H106" s="26">
        <f>SUM(H105)</f>
        <v>65</v>
      </c>
      <c r="I106" s="35">
        <f>SUM(I105)</f>
        <v>580271.29</v>
      </c>
      <c r="J106" s="35" t="s">
        <v>143</v>
      </c>
      <c r="K106" s="62"/>
    </row>
    <row r="107" spans="1:12" x14ac:dyDescent="0.3">
      <c r="A107" s="355" t="s">
        <v>147</v>
      </c>
      <c r="B107" s="355"/>
      <c r="C107" s="98" t="s">
        <v>143</v>
      </c>
      <c r="D107" s="98" t="s">
        <v>143</v>
      </c>
      <c r="E107" s="98" t="s">
        <v>143</v>
      </c>
      <c r="F107" s="98" t="s">
        <v>143</v>
      </c>
      <c r="G107" s="98">
        <f>G106+G103+G97</f>
        <v>13235.3</v>
      </c>
      <c r="H107" s="98">
        <f t="shared" ref="H107:I107" si="6">H106+H103+H97</f>
        <v>341</v>
      </c>
      <c r="I107" s="98">
        <f t="shared" si="6"/>
        <v>19271271.289999999</v>
      </c>
      <c r="J107" s="98" t="s">
        <v>143</v>
      </c>
      <c r="K107" s="98" t="s">
        <v>143</v>
      </c>
      <c r="L107" s="111">
        <f>I107-'2021'!C84</f>
        <v>130000</v>
      </c>
    </row>
    <row r="108" spans="1:12" s="50" customFormat="1" x14ac:dyDescent="0.3">
      <c r="A108" s="60"/>
      <c r="B108" s="377" t="s">
        <v>211</v>
      </c>
      <c r="C108" s="377"/>
      <c r="D108" s="377"/>
      <c r="E108" s="377"/>
      <c r="F108" s="377"/>
      <c r="G108" s="377"/>
      <c r="H108" s="377"/>
      <c r="I108" s="377"/>
      <c r="J108" s="100"/>
      <c r="K108" s="100"/>
    </row>
    <row r="109" spans="1:12" x14ac:dyDescent="0.3">
      <c r="A109" s="356" t="s">
        <v>212</v>
      </c>
      <c r="B109" s="356"/>
      <c r="C109" s="35"/>
      <c r="D109" s="35"/>
      <c r="E109" s="35"/>
      <c r="F109" s="35"/>
      <c r="G109" s="27"/>
      <c r="H109" s="26"/>
      <c r="I109" s="35"/>
      <c r="J109" s="62"/>
      <c r="K109" s="62"/>
    </row>
    <row r="110" spans="1:12" x14ac:dyDescent="0.3">
      <c r="A110" s="28">
        <f>A105+1</f>
        <v>51</v>
      </c>
      <c r="B110" s="30" t="s">
        <v>213</v>
      </c>
      <c r="C110" s="34">
        <v>1975</v>
      </c>
      <c r="D110" s="35"/>
      <c r="E110" s="42" t="s">
        <v>135</v>
      </c>
      <c r="F110" s="42">
        <v>5</v>
      </c>
      <c r="G110" s="42">
        <v>5361</v>
      </c>
      <c r="H110" s="43">
        <v>245</v>
      </c>
      <c r="I110" s="35">
        <f>SUMIF('2020'!B:B,B110,'2020'!C:C)+SUMIF('2021'!B:B,B110,'2021'!C:C)+SUMIF('2022'!B:B,B110,'2022'!C:C)</f>
        <v>1634102.77</v>
      </c>
      <c r="J110" s="36">
        <v>44925</v>
      </c>
      <c r="K110" s="35" t="s">
        <v>151</v>
      </c>
    </row>
    <row r="111" spans="1:12" x14ac:dyDescent="0.3">
      <c r="A111" s="350" t="s">
        <v>35</v>
      </c>
      <c r="B111" s="350"/>
      <c r="C111" s="34" t="s">
        <v>143</v>
      </c>
      <c r="D111" s="34" t="s">
        <v>143</v>
      </c>
      <c r="E111" s="34" t="s">
        <v>143</v>
      </c>
      <c r="F111" s="34" t="s">
        <v>143</v>
      </c>
      <c r="G111" s="35">
        <f>G110</f>
        <v>5361</v>
      </c>
      <c r="H111" s="26">
        <f>H110</f>
        <v>245</v>
      </c>
      <c r="I111" s="35">
        <f>I110</f>
        <v>1634102.77</v>
      </c>
      <c r="J111" s="35" t="s">
        <v>143</v>
      </c>
      <c r="K111" s="62"/>
    </row>
    <row r="112" spans="1:12" x14ac:dyDescent="0.3">
      <c r="A112" s="356" t="s">
        <v>215</v>
      </c>
      <c r="B112" s="356"/>
      <c r="C112" s="35"/>
      <c r="D112" s="35"/>
      <c r="E112" s="35"/>
      <c r="F112" s="35"/>
      <c r="G112" s="27"/>
      <c r="H112" s="26"/>
      <c r="I112" s="35"/>
      <c r="J112" s="62"/>
      <c r="K112" s="62"/>
    </row>
    <row r="113" spans="1:12" x14ac:dyDescent="0.3">
      <c r="A113" s="28">
        <f>A110+1</f>
        <v>52</v>
      </c>
      <c r="B113" s="30" t="s">
        <v>216</v>
      </c>
      <c r="C113" s="34">
        <v>1977</v>
      </c>
      <c r="D113" s="35"/>
      <c r="E113" s="79" t="s">
        <v>101</v>
      </c>
      <c r="F113" s="39">
        <v>5</v>
      </c>
      <c r="G113" s="40">
        <v>5006.6000000000004</v>
      </c>
      <c r="H113" s="81">
        <v>167</v>
      </c>
      <c r="I113" s="35">
        <f>SUMIF('2020'!B:B,B113,'2020'!C:C)+SUMIF('2021'!B:B,B113,'2021'!C:C)+SUMIF('2022'!B:B,B113,'2022'!C:C)</f>
        <v>130000</v>
      </c>
      <c r="J113" s="36">
        <v>44925</v>
      </c>
      <c r="K113" s="35" t="s">
        <v>151</v>
      </c>
    </row>
    <row r="114" spans="1:12" x14ac:dyDescent="0.3">
      <c r="A114" s="28">
        <f>A113+1</f>
        <v>53</v>
      </c>
      <c r="B114" s="30" t="s">
        <v>217</v>
      </c>
      <c r="C114" s="34">
        <v>1984</v>
      </c>
      <c r="D114" s="35"/>
      <c r="E114" s="79" t="s">
        <v>101</v>
      </c>
      <c r="F114" s="39">
        <v>3</v>
      </c>
      <c r="G114" s="40">
        <v>2096.1999999999998</v>
      </c>
      <c r="H114" s="81">
        <v>52</v>
      </c>
      <c r="I114" s="35">
        <f>SUMIF('2020'!B:B,B114,'2020'!C:C)+SUMIF('2021'!B:B,B114,'2021'!C:C)+SUMIF('2022'!B:B,B114,'2022'!C:C)</f>
        <v>492972.77</v>
      </c>
      <c r="J114" s="36">
        <v>44925</v>
      </c>
      <c r="K114" s="35" t="s">
        <v>151</v>
      </c>
    </row>
    <row r="115" spans="1:12" x14ac:dyDescent="0.3">
      <c r="A115" s="28">
        <f>A114+1</f>
        <v>54</v>
      </c>
      <c r="B115" s="30" t="s">
        <v>218</v>
      </c>
      <c r="C115" s="34">
        <v>1972</v>
      </c>
      <c r="D115" s="35"/>
      <c r="E115" s="79" t="s">
        <v>101</v>
      </c>
      <c r="F115" s="39">
        <v>5</v>
      </c>
      <c r="G115" s="40">
        <v>4548.1000000000004</v>
      </c>
      <c r="H115" s="81">
        <v>205</v>
      </c>
      <c r="I115" s="35">
        <f>SUMIF('2020'!B:B,B115,'2020'!C:C)+SUMIF('2021'!B:B,B115,'2021'!C:C)+SUMIF('2022'!B:B,B115,'2022'!C:C)</f>
        <v>115701.19</v>
      </c>
      <c r="J115" s="36">
        <v>44925</v>
      </c>
      <c r="K115" s="35" t="s">
        <v>151</v>
      </c>
    </row>
    <row r="116" spans="1:12" x14ac:dyDescent="0.3">
      <c r="A116" s="28">
        <f>A115+1</f>
        <v>55</v>
      </c>
      <c r="B116" s="30" t="s">
        <v>219</v>
      </c>
      <c r="C116" s="34">
        <v>1975</v>
      </c>
      <c r="D116" s="35"/>
      <c r="E116" s="79" t="s">
        <v>101</v>
      </c>
      <c r="F116" s="39">
        <v>5</v>
      </c>
      <c r="G116" s="40">
        <v>3355.9</v>
      </c>
      <c r="H116" s="81">
        <v>130</v>
      </c>
      <c r="I116" s="35">
        <f>SUMIF('2020'!B:B,B116,'2020'!C:C)+SUMIF('2021'!B:B,B116,'2021'!C:C)+SUMIF('2022'!B:B,B116,'2022'!C:C)</f>
        <v>130000</v>
      </c>
      <c r="J116" s="36">
        <v>44925</v>
      </c>
      <c r="K116" s="35" t="s">
        <v>151</v>
      </c>
    </row>
    <row r="117" spans="1:12" x14ac:dyDescent="0.3">
      <c r="A117" s="350" t="s">
        <v>35</v>
      </c>
      <c r="B117" s="350"/>
      <c r="C117" s="35" t="s">
        <v>143</v>
      </c>
      <c r="D117" s="35" t="s">
        <v>143</v>
      </c>
      <c r="E117" s="35" t="s">
        <v>143</v>
      </c>
      <c r="F117" s="35" t="s">
        <v>143</v>
      </c>
      <c r="G117" s="35">
        <f>SUM(G113:G116)</f>
        <v>15006.800000000001</v>
      </c>
      <c r="H117" s="26">
        <f>SUM(H113:H116)</f>
        <v>554</v>
      </c>
      <c r="I117" s="35">
        <f>SUM(I113:I116)</f>
        <v>868673.96</v>
      </c>
      <c r="J117" s="35" t="s">
        <v>143</v>
      </c>
      <c r="K117" s="35" t="s">
        <v>143</v>
      </c>
    </row>
    <row r="118" spans="1:12" x14ac:dyDescent="0.3">
      <c r="A118" s="356" t="s">
        <v>220</v>
      </c>
      <c r="B118" s="356"/>
      <c r="C118" s="35"/>
      <c r="D118" s="35"/>
      <c r="E118" s="35"/>
      <c r="F118" s="35"/>
      <c r="G118" s="27"/>
      <c r="H118" s="26"/>
      <c r="I118" s="35"/>
      <c r="J118" s="62"/>
      <c r="K118" s="62"/>
    </row>
    <row r="119" spans="1:12" x14ac:dyDescent="0.3">
      <c r="A119" s="28">
        <f>A116+1</f>
        <v>56</v>
      </c>
      <c r="B119" s="30" t="s">
        <v>221</v>
      </c>
      <c r="C119" s="34">
        <v>1979</v>
      </c>
      <c r="D119" s="34"/>
      <c r="E119" s="35" t="s">
        <v>108</v>
      </c>
      <c r="F119" s="35">
        <v>5</v>
      </c>
      <c r="G119" s="35">
        <v>4343.7</v>
      </c>
      <c r="H119" s="26">
        <v>128</v>
      </c>
      <c r="I119" s="35">
        <f>SUMIF('2020'!B:B,B119,'2020'!C:C)+SUMIF('2021'!B:B,B119,'2021'!C:C)+SUMIF('2022'!B:B,B119,'2022'!C:C)</f>
        <v>1985182.3699999999</v>
      </c>
      <c r="J119" s="36">
        <v>44925</v>
      </c>
      <c r="K119" s="35" t="s">
        <v>151</v>
      </c>
    </row>
    <row r="120" spans="1:12" x14ac:dyDescent="0.3">
      <c r="A120" s="28">
        <f t="shared" ref="A120:A125" si="7">A119+1</f>
        <v>57</v>
      </c>
      <c r="B120" s="30" t="s">
        <v>222</v>
      </c>
      <c r="C120" s="34">
        <v>1976</v>
      </c>
      <c r="D120" s="34"/>
      <c r="E120" s="35" t="s">
        <v>108</v>
      </c>
      <c r="F120" s="35">
        <v>5</v>
      </c>
      <c r="G120" s="35">
        <v>4017.2</v>
      </c>
      <c r="H120" s="26">
        <v>122</v>
      </c>
      <c r="I120" s="35">
        <f>SUMIF('2020'!B:B,B120,'2020'!C:C)+SUMIF('2021'!B:B,B120,'2021'!C:C)+SUMIF('2022'!B:B,B120,'2022'!C:C)</f>
        <v>1762533.62</v>
      </c>
      <c r="J120" s="36">
        <v>44925</v>
      </c>
      <c r="K120" s="35" t="s">
        <v>151</v>
      </c>
    </row>
    <row r="121" spans="1:12" x14ac:dyDescent="0.3">
      <c r="A121" s="28">
        <f t="shared" si="7"/>
        <v>58</v>
      </c>
      <c r="B121" s="30" t="s">
        <v>223</v>
      </c>
      <c r="C121" s="34">
        <v>1979</v>
      </c>
      <c r="D121" s="34"/>
      <c r="E121" s="35" t="s">
        <v>108</v>
      </c>
      <c r="F121" s="35">
        <v>5</v>
      </c>
      <c r="G121" s="35">
        <v>4009.2</v>
      </c>
      <c r="H121" s="26">
        <v>137</v>
      </c>
      <c r="I121" s="35">
        <f>SUMIF('2020'!B:B,B121,'2020'!C:C)+SUMIF('2021'!B:B,B121,'2021'!C:C)+SUMIF('2022'!B:B,B121,'2022'!C:C)</f>
        <v>1576538.24</v>
      </c>
      <c r="J121" s="36">
        <v>44925</v>
      </c>
      <c r="K121" s="35" t="s">
        <v>151</v>
      </c>
    </row>
    <row r="122" spans="1:12" x14ac:dyDescent="0.3">
      <c r="A122" s="28">
        <f t="shared" si="7"/>
        <v>59</v>
      </c>
      <c r="B122" s="30" t="s">
        <v>224</v>
      </c>
      <c r="C122" s="34">
        <v>1966</v>
      </c>
      <c r="D122" s="34"/>
      <c r="E122" s="35" t="s">
        <v>99</v>
      </c>
      <c r="F122" s="35">
        <v>2</v>
      </c>
      <c r="G122" s="35">
        <v>710.7</v>
      </c>
      <c r="H122" s="26">
        <v>18</v>
      </c>
      <c r="I122" s="35">
        <f>SUMIF('2020'!B:B,B122,'2020'!C:C)+SUMIF('2021'!B:B,B122,'2021'!C:C)+SUMIF('2022'!B:B,B122,'2022'!C:C)</f>
        <v>707715.12</v>
      </c>
      <c r="J122" s="36">
        <v>44925</v>
      </c>
      <c r="K122" s="35" t="s">
        <v>151</v>
      </c>
    </row>
    <row r="123" spans="1:12" x14ac:dyDescent="0.3">
      <c r="A123" s="28">
        <f t="shared" si="7"/>
        <v>60</v>
      </c>
      <c r="B123" s="30" t="s">
        <v>225</v>
      </c>
      <c r="C123" s="34">
        <v>1976</v>
      </c>
      <c r="D123" s="34"/>
      <c r="E123" s="35" t="s">
        <v>108</v>
      </c>
      <c r="F123" s="35">
        <v>5</v>
      </c>
      <c r="G123" s="35">
        <v>3329</v>
      </c>
      <c r="H123" s="26">
        <v>133</v>
      </c>
      <c r="I123" s="35">
        <f>SUMIF('2020'!B:B,B123,'2020'!C:C)+SUMIF('2021'!B:B,B123,'2021'!C:C)+SUMIF('2022'!B:B,B123,'2022'!C:C)</f>
        <v>1293884.29</v>
      </c>
      <c r="J123" s="36">
        <v>44925</v>
      </c>
      <c r="K123" s="35" t="s">
        <v>151</v>
      </c>
    </row>
    <row r="124" spans="1:12" x14ac:dyDescent="0.3">
      <c r="A124" s="28">
        <f t="shared" si="7"/>
        <v>61</v>
      </c>
      <c r="B124" s="30" t="s">
        <v>226</v>
      </c>
      <c r="C124" s="34">
        <v>1977</v>
      </c>
      <c r="D124" s="34"/>
      <c r="E124" s="35" t="s">
        <v>108</v>
      </c>
      <c r="F124" s="35">
        <v>5</v>
      </c>
      <c r="G124" s="35">
        <v>3362.1</v>
      </c>
      <c r="H124" s="26">
        <v>111</v>
      </c>
      <c r="I124" s="35">
        <f>SUMIF('2020'!B:B,B124,'2020'!C:C)+SUMIF('2021'!B:B,B124,'2021'!C:C)+SUMIF('2022'!B:B,B124,'2022'!C:C)</f>
        <v>1801586.32</v>
      </c>
      <c r="J124" s="36">
        <v>44925</v>
      </c>
      <c r="K124" s="35" t="s">
        <v>151</v>
      </c>
    </row>
    <row r="125" spans="1:12" x14ac:dyDescent="0.3">
      <c r="A125" s="28">
        <f t="shared" si="7"/>
        <v>62</v>
      </c>
      <c r="B125" s="30" t="s">
        <v>227</v>
      </c>
      <c r="C125" s="34">
        <v>1980</v>
      </c>
      <c r="D125" s="34"/>
      <c r="E125" s="35" t="s">
        <v>108</v>
      </c>
      <c r="F125" s="35">
        <v>3</v>
      </c>
      <c r="G125" s="35">
        <v>2191.9</v>
      </c>
      <c r="H125" s="26">
        <v>56</v>
      </c>
      <c r="I125" s="35">
        <f>SUMIF('2020'!B:B,B125,'2020'!C:C)+SUMIF('2021'!B:B,B125,'2021'!C:C)+SUMIF('2022'!B:B,B125,'2022'!C:C)</f>
        <v>928863.99</v>
      </c>
      <c r="J125" s="36">
        <v>44925</v>
      </c>
      <c r="K125" s="35" t="s">
        <v>151</v>
      </c>
    </row>
    <row r="126" spans="1:12" x14ac:dyDescent="0.3">
      <c r="A126" s="350" t="s">
        <v>35</v>
      </c>
      <c r="B126" s="350"/>
      <c r="C126" s="34" t="s">
        <v>143</v>
      </c>
      <c r="D126" s="34" t="s">
        <v>143</v>
      </c>
      <c r="E126" s="34" t="s">
        <v>143</v>
      </c>
      <c r="F126" s="34" t="s">
        <v>143</v>
      </c>
      <c r="G126" s="35">
        <f>SUM(G119:G125)</f>
        <v>21963.8</v>
      </c>
      <c r="H126" s="26">
        <f>SUM(H119:H125)</f>
        <v>705</v>
      </c>
      <c r="I126" s="35">
        <f>SUM(I119:I125)</f>
        <v>10056303.950000001</v>
      </c>
      <c r="J126" s="35" t="s">
        <v>143</v>
      </c>
      <c r="K126" s="62"/>
    </row>
    <row r="127" spans="1:12" x14ac:dyDescent="0.3">
      <c r="A127" s="355" t="s">
        <v>214</v>
      </c>
      <c r="B127" s="355"/>
      <c r="C127" s="98" t="s">
        <v>143</v>
      </c>
      <c r="D127" s="98" t="s">
        <v>143</v>
      </c>
      <c r="E127" s="98" t="s">
        <v>143</v>
      </c>
      <c r="F127" s="98" t="s">
        <v>143</v>
      </c>
      <c r="G127" s="98">
        <f>G126+G117+G111</f>
        <v>42331.6</v>
      </c>
      <c r="H127" s="99">
        <f>H126+H117+H111</f>
        <v>1504</v>
      </c>
      <c r="I127" s="98">
        <f>I126+I117+I111</f>
        <v>12559080.68</v>
      </c>
      <c r="J127" s="98" t="s">
        <v>143</v>
      </c>
      <c r="K127" s="98" t="s">
        <v>143</v>
      </c>
      <c r="L127" s="111">
        <f>I127-'2022'!C50</f>
        <v>0</v>
      </c>
    </row>
    <row r="128" spans="1:12" s="50" customFormat="1" x14ac:dyDescent="0.3">
      <c r="A128" s="360" t="s">
        <v>172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100"/>
    </row>
    <row r="129" spans="1:11" x14ac:dyDescent="0.3">
      <c r="A129" s="356" t="s">
        <v>173</v>
      </c>
      <c r="B129" s="356"/>
      <c r="C129" s="98"/>
      <c r="D129" s="98"/>
      <c r="E129" s="98"/>
      <c r="F129" s="98"/>
      <c r="G129" s="112"/>
      <c r="H129" s="98"/>
      <c r="I129" s="98"/>
      <c r="J129" s="98"/>
      <c r="K129" s="62"/>
    </row>
    <row r="130" spans="1:11" x14ac:dyDescent="0.3">
      <c r="A130" s="28">
        <f>A125+1</f>
        <v>63</v>
      </c>
      <c r="B130" s="30" t="s">
        <v>174</v>
      </c>
      <c r="C130" s="34">
        <v>1974</v>
      </c>
      <c r="D130" s="101"/>
      <c r="E130" s="101" t="s">
        <v>100</v>
      </c>
      <c r="F130" s="27">
        <v>5</v>
      </c>
      <c r="G130" s="101">
        <v>3659.54</v>
      </c>
      <c r="H130" s="27">
        <v>137</v>
      </c>
      <c r="I130" s="35">
        <f>SUMIF('2020'!B:B,B130,'2020'!C:C)+SUMIF('2021'!B:B,B130,'2021'!C:C)+SUMIF('2022'!B:B,B130,'2022'!C:C)</f>
        <v>24614738.259999998</v>
      </c>
      <c r="J130" s="36">
        <v>44925</v>
      </c>
      <c r="K130" s="35" t="s">
        <v>151</v>
      </c>
    </row>
    <row r="131" spans="1:11" x14ac:dyDescent="0.3">
      <c r="A131" s="113">
        <f>A130+1</f>
        <v>64</v>
      </c>
      <c r="B131" s="90" t="s">
        <v>282</v>
      </c>
      <c r="C131" s="84">
        <v>1975</v>
      </c>
      <c r="D131" s="107"/>
      <c r="E131" s="114" t="s">
        <v>100</v>
      </c>
      <c r="F131" s="105">
        <v>5</v>
      </c>
      <c r="G131" s="114">
        <v>3447.8</v>
      </c>
      <c r="H131" s="105">
        <v>105</v>
      </c>
      <c r="I131" s="35">
        <f>SUMIF('2020'!B:B,B131,'2020'!C:C)+SUMIF('2021'!B:B,B131,'2021'!C:C)+SUMIF('2022'!B:B,B131,'2022'!C:C)</f>
        <v>879498.7</v>
      </c>
      <c r="J131" s="36">
        <v>44925</v>
      </c>
      <c r="K131" s="35" t="s">
        <v>151</v>
      </c>
    </row>
    <row r="132" spans="1:11" x14ac:dyDescent="0.3">
      <c r="A132" s="350" t="s">
        <v>35</v>
      </c>
      <c r="B132" s="350"/>
      <c r="C132" s="35" t="s">
        <v>143</v>
      </c>
      <c r="D132" s="35" t="s">
        <v>143</v>
      </c>
      <c r="E132" s="35" t="s">
        <v>143</v>
      </c>
      <c r="F132" s="35" t="s">
        <v>143</v>
      </c>
      <c r="G132" s="35">
        <f>G130+G131</f>
        <v>7107.34</v>
      </c>
      <c r="H132" s="26">
        <f t="shared" ref="H132:I132" si="8">H130+H131</f>
        <v>242</v>
      </c>
      <c r="I132" s="35">
        <f t="shared" si="8"/>
        <v>25494236.959999997</v>
      </c>
      <c r="J132" s="35" t="s">
        <v>143</v>
      </c>
      <c r="K132" s="62"/>
    </row>
    <row r="133" spans="1:11" x14ac:dyDescent="0.3">
      <c r="A133" s="356" t="s">
        <v>176</v>
      </c>
      <c r="B133" s="356"/>
      <c r="C133" s="35"/>
      <c r="D133" s="101"/>
      <c r="E133" s="35"/>
      <c r="F133" s="35"/>
      <c r="G133" s="27"/>
      <c r="H133" s="26"/>
      <c r="I133" s="35"/>
      <c r="J133" s="35"/>
      <c r="K133" s="62"/>
    </row>
    <row r="134" spans="1:11" x14ac:dyDescent="0.3">
      <c r="A134" s="28">
        <f>A131+1</f>
        <v>65</v>
      </c>
      <c r="B134" s="30" t="s">
        <v>177</v>
      </c>
      <c r="C134" s="34">
        <v>1968</v>
      </c>
      <c r="D134" s="101"/>
      <c r="E134" s="35" t="s">
        <v>102</v>
      </c>
      <c r="F134" s="26">
        <v>5</v>
      </c>
      <c r="G134" s="35">
        <v>3348.72</v>
      </c>
      <c r="H134" s="26">
        <v>104</v>
      </c>
      <c r="I134" s="35">
        <f>SUMIF('2020'!B:B,B134,'2020'!C:C)+SUMIF('2021'!B:B,B134,'2021'!C:C)+SUMIF('2022'!B:B,B134,'2022'!C:C)</f>
        <v>305138.77</v>
      </c>
      <c r="J134" s="36">
        <v>44925</v>
      </c>
      <c r="K134" s="35" t="s">
        <v>151</v>
      </c>
    </row>
    <row r="135" spans="1:11" x14ac:dyDescent="0.3">
      <c r="A135" s="350" t="s">
        <v>35</v>
      </c>
      <c r="B135" s="350"/>
      <c r="C135" s="35" t="s">
        <v>143</v>
      </c>
      <c r="D135" s="35" t="s">
        <v>143</v>
      </c>
      <c r="E135" s="35" t="s">
        <v>143</v>
      </c>
      <c r="F135" s="35" t="s">
        <v>143</v>
      </c>
      <c r="G135" s="35">
        <f>SUM(G134)</f>
        <v>3348.72</v>
      </c>
      <c r="H135" s="26">
        <f>SUM(H134)</f>
        <v>104</v>
      </c>
      <c r="I135" s="35">
        <f>SUM(I134)</f>
        <v>305138.77</v>
      </c>
      <c r="J135" s="35" t="s">
        <v>143</v>
      </c>
      <c r="K135" s="62"/>
    </row>
    <row r="136" spans="1:11" x14ac:dyDescent="0.3">
      <c r="A136" s="356" t="s">
        <v>178</v>
      </c>
      <c r="B136" s="356"/>
      <c r="C136" s="35"/>
      <c r="D136" s="101"/>
      <c r="E136" s="35"/>
      <c r="F136" s="35"/>
      <c r="G136" s="27"/>
      <c r="H136" s="26"/>
      <c r="I136" s="35"/>
      <c r="J136" s="35"/>
      <c r="K136" s="62"/>
    </row>
    <row r="137" spans="1:11" x14ac:dyDescent="0.3">
      <c r="A137" s="28">
        <f>A134+1</f>
        <v>66</v>
      </c>
      <c r="B137" s="30" t="s">
        <v>179</v>
      </c>
      <c r="C137" s="34">
        <v>1978</v>
      </c>
      <c r="D137" s="101"/>
      <c r="E137" s="35" t="s">
        <v>101</v>
      </c>
      <c r="F137" s="26">
        <v>5</v>
      </c>
      <c r="G137" s="35">
        <v>3165.8</v>
      </c>
      <c r="H137" s="26">
        <v>132</v>
      </c>
      <c r="I137" s="35">
        <f>SUMIF('2020'!B:B,B137,'2020'!C:C)+SUMIF('2021'!B:B,B137,'2021'!C:C)+SUMIF('2022'!B:B,B137,'2022'!C:C)</f>
        <v>431312.18</v>
      </c>
      <c r="J137" s="36">
        <v>44925</v>
      </c>
      <c r="K137" s="35" t="s">
        <v>151</v>
      </c>
    </row>
    <row r="138" spans="1:11" x14ac:dyDescent="0.3">
      <c r="A138" s="350" t="s">
        <v>35</v>
      </c>
      <c r="B138" s="350"/>
      <c r="C138" s="35" t="s">
        <v>143</v>
      </c>
      <c r="D138" s="35" t="s">
        <v>143</v>
      </c>
      <c r="E138" s="35" t="s">
        <v>143</v>
      </c>
      <c r="F138" s="35" t="s">
        <v>143</v>
      </c>
      <c r="G138" s="35">
        <f>SUM(G137)</f>
        <v>3165.8</v>
      </c>
      <c r="H138" s="26">
        <f>SUM(H137)</f>
        <v>132</v>
      </c>
      <c r="I138" s="35">
        <f>SUM(I137)</f>
        <v>431312.18</v>
      </c>
      <c r="J138" s="35" t="s">
        <v>143</v>
      </c>
      <c r="K138" s="62"/>
    </row>
    <row r="139" spans="1:11" x14ac:dyDescent="0.3">
      <c r="A139" s="356" t="s">
        <v>228</v>
      </c>
      <c r="B139" s="356"/>
      <c r="C139" s="35"/>
      <c r="D139" s="101"/>
      <c r="E139" s="35"/>
      <c r="F139" s="35"/>
      <c r="G139" s="27"/>
      <c r="H139" s="26"/>
      <c r="I139" s="35"/>
      <c r="J139" s="62"/>
      <c r="K139" s="62"/>
    </row>
    <row r="140" spans="1:11" x14ac:dyDescent="0.3">
      <c r="A140" s="28">
        <f>A137+1</f>
        <v>67</v>
      </c>
      <c r="B140" s="30" t="s">
        <v>229</v>
      </c>
      <c r="C140" s="34">
        <v>1979</v>
      </c>
      <c r="D140" s="101"/>
      <c r="E140" s="35" t="s">
        <v>102</v>
      </c>
      <c r="F140" s="26">
        <v>5</v>
      </c>
      <c r="G140" s="35">
        <v>3924.6</v>
      </c>
      <c r="H140" s="26">
        <v>81</v>
      </c>
      <c r="I140" s="35">
        <f>SUMIF('2020'!B:B,B140,'2020'!C:C)+SUMIF('2021'!B:B,B140,'2021'!C:C)+SUMIF('2022'!B:B,B140,'2022'!C:C)</f>
        <v>596302.76</v>
      </c>
      <c r="J140" s="36">
        <v>44925</v>
      </c>
      <c r="K140" s="35" t="s">
        <v>151</v>
      </c>
    </row>
    <row r="141" spans="1:11" x14ac:dyDescent="0.3">
      <c r="A141" s="350" t="s">
        <v>35</v>
      </c>
      <c r="B141" s="350"/>
      <c r="C141" s="35" t="s">
        <v>143</v>
      </c>
      <c r="D141" s="35" t="s">
        <v>143</v>
      </c>
      <c r="E141" s="35" t="s">
        <v>143</v>
      </c>
      <c r="F141" s="35" t="s">
        <v>143</v>
      </c>
      <c r="G141" s="35">
        <f>G140</f>
        <v>3924.6</v>
      </c>
      <c r="H141" s="26">
        <f>H140</f>
        <v>81</v>
      </c>
      <c r="I141" s="35">
        <f>I140</f>
        <v>596302.76</v>
      </c>
      <c r="J141" s="35" t="s">
        <v>143</v>
      </c>
      <c r="K141" s="62"/>
    </row>
    <row r="142" spans="1:11" x14ac:dyDescent="0.3">
      <c r="A142" s="356" t="s">
        <v>180</v>
      </c>
      <c r="B142" s="356"/>
      <c r="C142" s="35"/>
      <c r="D142" s="101"/>
      <c r="E142" s="35"/>
      <c r="F142" s="35"/>
      <c r="G142" s="27"/>
      <c r="H142" s="35"/>
      <c r="I142" s="35"/>
      <c r="J142" s="35"/>
      <c r="K142" s="31"/>
    </row>
    <row r="143" spans="1:11" x14ac:dyDescent="0.3">
      <c r="A143" s="28">
        <f>A140+1</f>
        <v>68</v>
      </c>
      <c r="B143" s="30" t="s">
        <v>181</v>
      </c>
      <c r="C143" s="34">
        <v>1976</v>
      </c>
      <c r="D143" s="101"/>
      <c r="E143" s="35" t="s">
        <v>100</v>
      </c>
      <c r="F143" s="26">
        <v>5</v>
      </c>
      <c r="G143" s="35">
        <v>4426.6000000000004</v>
      </c>
      <c r="H143" s="27">
        <v>225</v>
      </c>
      <c r="I143" s="35">
        <f>SUMIF('2020'!B:B,B143,'2020'!C:C)+SUMIF('2021'!B:B,B143,'2021'!C:C)+SUMIF('2022'!B:B,B143,'2022'!C:C)</f>
        <v>1035984.08</v>
      </c>
      <c r="J143" s="36">
        <v>44925</v>
      </c>
      <c r="K143" s="35" t="s">
        <v>151</v>
      </c>
    </row>
    <row r="144" spans="1:11" ht="18" customHeight="1" x14ac:dyDescent="0.3">
      <c r="A144" s="28">
        <f>A143+1</f>
        <v>69</v>
      </c>
      <c r="B144" s="30" t="s">
        <v>182</v>
      </c>
      <c r="C144" s="34">
        <v>1977</v>
      </c>
      <c r="D144" s="101"/>
      <c r="E144" s="35" t="s">
        <v>100</v>
      </c>
      <c r="F144" s="26">
        <v>5</v>
      </c>
      <c r="G144" s="35">
        <v>5904.9</v>
      </c>
      <c r="H144" s="27">
        <v>227</v>
      </c>
      <c r="I144" s="35">
        <f>SUMIF('2020'!B:B,B144,'2020'!C:C)+SUMIF('2021'!B:B,B144,'2021'!C:C)+SUMIF('2022'!B:B,B144,'2022'!C:C)</f>
        <v>1035984.08</v>
      </c>
      <c r="J144" s="36">
        <v>44925</v>
      </c>
      <c r="K144" s="35" t="s">
        <v>151</v>
      </c>
    </row>
    <row r="145" spans="1:12" ht="18" customHeight="1" x14ac:dyDescent="0.3">
      <c r="A145" s="28">
        <f>A144+1</f>
        <v>70</v>
      </c>
      <c r="B145" s="30" t="s">
        <v>183</v>
      </c>
      <c r="C145" s="34"/>
      <c r="D145" s="101"/>
      <c r="E145" s="35"/>
      <c r="F145" s="26"/>
      <c r="G145" s="35"/>
      <c r="H145" s="27"/>
      <c r="I145" s="35">
        <f>SUMIF('2020'!B:B,B145,'2020'!C:C)+SUMIF('2021'!B:B,B145,'2021'!C:C)+SUMIF('2022'!B:B,B145,'2022'!C:C)</f>
        <v>790000</v>
      </c>
      <c r="J145" s="36">
        <v>44925</v>
      </c>
      <c r="K145" s="35" t="s">
        <v>151</v>
      </c>
    </row>
    <row r="146" spans="1:12" x14ac:dyDescent="0.3">
      <c r="A146" s="350" t="s">
        <v>35</v>
      </c>
      <c r="B146" s="350"/>
      <c r="C146" s="35" t="s">
        <v>143</v>
      </c>
      <c r="D146" s="35" t="s">
        <v>143</v>
      </c>
      <c r="E146" s="35" t="s">
        <v>143</v>
      </c>
      <c r="F146" s="35" t="s">
        <v>143</v>
      </c>
      <c r="G146" s="35">
        <f>SUM(G143:G145)</f>
        <v>10331.5</v>
      </c>
      <c r="H146" s="115">
        <f>SUM(H143:H145)</f>
        <v>452</v>
      </c>
      <c r="I146" s="35">
        <f>SUM(I143:I145)</f>
        <v>2861968.16</v>
      </c>
      <c r="J146" s="35" t="s">
        <v>143</v>
      </c>
      <c r="K146" s="62"/>
    </row>
    <row r="147" spans="1:12" x14ac:dyDescent="0.3">
      <c r="A147" s="356" t="s">
        <v>230</v>
      </c>
      <c r="B147" s="356"/>
      <c r="C147" s="35"/>
      <c r="D147" s="101"/>
      <c r="E147" s="35"/>
      <c r="F147" s="35"/>
      <c r="G147" s="27"/>
      <c r="H147" s="35"/>
      <c r="I147" s="35"/>
      <c r="J147" s="62"/>
      <c r="K147" s="62"/>
    </row>
    <row r="148" spans="1:12" x14ac:dyDescent="0.3">
      <c r="A148" s="28">
        <f>A145+1</f>
        <v>71</v>
      </c>
      <c r="B148" s="30" t="s">
        <v>231</v>
      </c>
      <c r="C148" s="34">
        <v>1970</v>
      </c>
      <c r="D148" s="101"/>
      <c r="E148" s="35" t="s">
        <v>102</v>
      </c>
      <c r="F148" s="26">
        <v>2</v>
      </c>
      <c r="G148" s="35">
        <v>531.6</v>
      </c>
      <c r="H148" s="27">
        <v>18</v>
      </c>
      <c r="I148" s="35">
        <f>SUMIF('2020'!B:B,B148,'2020'!C:C)+SUMIF('2021'!B:B,B148,'2021'!C:C)+SUMIF('2022'!B:B,B148,'2022'!C:C)</f>
        <v>493967.67</v>
      </c>
      <c r="J148" s="36">
        <v>44925</v>
      </c>
      <c r="K148" s="35" t="s">
        <v>151</v>
      </c>
    </row>
    <row r="149" spans="1:12" x14ac:dyDescent="0.3">
      <c r="A149" s="350" t="s">
        <v>35</v>
      </c>
      <c r="B149" s="350"/>
      <c r="C149" s="35" t="s">
        <v>143</v>
      </c>
      <c r="D149" s="35" t="s">
        <v>143</v>
      </c>
      <c r="E149" s="35" t="s">
        <v>143</v>
      </c>
      <c r="F149" s="35" t="s">
        <v>143</v>
      </c>
      <c r="G149" s="35">
        <f>G148</f>
        <v>531.6</v>
      </c>
      <c r="H149" s="26">
        <f>H148</f>
        <v>18</v>
      </c>
      <c r="I149" s="35">
        <f>I148</f>
        <v>493967.67</v>
      </c>
      <c r="J149" s="35" t="s">
        <v>143</v>
      </c>
      <c r="K149" s="116" t="s">
        <v>143</v>
      </c>
    </row>
    <row r="150" spans="1:12" s="50" customFormat="1" x14ac:dyDescent="0.3">
      <c r="A150" s="60" t="s">
        <v>191</v>
      </c>
      <c r="B150" s="60"/>
      <c r="C150" s="98" t="s">
        <v>143</v>
      </c>
      <c r="D150" s="98" t="s">
        <v>143</v>
      </c>
      <c r="E150" s="98" t="s">
        <v>143</v>
      </c>
      <c r="F150" s="98" t="s">
        <v>143</v>
      </c>
      <c r="G150" s="98">
        <f>G149+G146+G141+G138+G135+G132</f>
        <v>28409.56</v>
      </c>
      <c r="H150" s="99">
        <f>H149+H146+H141+H138+H135+H132</f>
        <v>1029</v>
      </c>
      <c r="I150" s="98">
        <f>I149+I146+I141+I138+I135+I132</f>
        <v>30182926.499999996</v>
      </c>
      <c r="J150" s="98" t="s">
        <v>143</v>
      </c>
      <c r="K150" s="98" t="s">
        <v>143</v>
      </c>
      <c r="L150" s="49">
        <f>I150-'2020'!C24-'2021'!C106</f>
        <v>879498.69999999553</v>
      </c>
    </row>
    <row r="151" spans="1:12" s="50" customFormat="1" x14ac:dyDescent="0.3">
      <c r="A151" s="360" t="s">
        <v>184</v>
      </c>
      <c r="B151" s="360"/>
      <c r="C151" s="360"/>
      <c r="D151" s="360"/>
      <c r="E151" s="360"/>
      <c r="F151" s="360"/>
      <c r="G151" s="360"/>
      <c r="H151" s="360"/>
      <c r="I151" s="360"/>
      <c r="J151" s="360"/>
      <c r="K151" s="100"/>
    </row>
    <row r="152" spans="1:12" x14ac:dyDescent="0.3">
      <c r="A152" s="28">
        <f>A148+1</f>
        <v>72</v>
      </c>
      <c r="B152" s="30" t="s">
        <v>185</v>
      </c>
      <c r="C152" s="34">
        <v>1973</v>
      </c>
      <c r="D152" s="35"/>
      <c r="E152" s="35" t="s">
        <v>102</v>
      </c>
      <c r="F152" s="96">
        <v>5</v>
      </c>
      <c r="G152" s="34">
        <v>4135.8</v>
      </c>
      <c r="H152" s="41" t="s">
        <v>186</v>
      </c>
      <c r="I152" s="35">
        <f>SUMIF('2020'!B:B,B152,'2020'!C:C)+SUMIF('2021'!B:B,B152,'2021'!C:C)+SUMIF('2022'!B:B,B152,'2022'!C:C)</f>
        <v>1852399.63</v>
      </c>
      <c r="J152" s="36">
        <v>44925</v>
      </c>
      <c r="K152" s="35" t="s">
        <v>151</v>
      </c>
    </row>
    <row r="153" spans="1:12" x14ac:dyDescent="0.3">
      <c r="A153" s="350" t="s">
        <v>35</v>
      </c>
      <c r="B153" s="350"/>
      <c r="C153" s="35" t="s">
        <v>143</v>
      </c>
      <c r="D153" s="35" t="s">
        <v>143</v>
      </c>
      <c r="E153" s="35" t="s">
        <v>143</v>
      </c>
      <c r="F153" s="35" t="s">
        <v>143</v>
      </c>
      <c r="G153" s="35">
        <f>SUM(G152:G152)</f>
        <v>4135.8</v>
      </c>
      <c r="H153" s="35">
        <f>SUM(H152:H152)</f>
        <v>0</v>
      </c>
      <c r="I153" s="35">
        <f>SUM(I152:I152)</f>
        <v>1852399.63</v>
      </c>
      <c r="J153" s="35" t="s">
        <v>143</v>
      </c>
      <c r="K153" s="62"/>
      <c r="L153" s="111">
        <f>I153-'2021'!C118</f>
        <v>0</v>
      </c>
    </row>
    <row r="154" spans="1:12" s="50" customFormat="1" x14ac:dyDescent="0.3">
      <c r="A154" s="360" t="s">
        <v>73</v>
      </c>
      <c r="B154" s="360"/>
      <c r="C154" s="360"/>
      <c r="D154" s="360"/>
      <c r="E154" s="360"/>
      <c r="F154" s="360"/>
      <c r="G154" s="360"/>
      <c r="H154" s="360"/>
      <c r="I154" s="360"/>
      <c r="J154" s="360"/>
      <c r="K154" s="360"/>
    </row>
    <row r="155" spans="1:12" x14ac:dyDescent="0.3">
      <c r="A155" s="356" t="s">
        <v>79</v>
      </c>
      <c r="B155" s="356"/>
      <c r="C155" s="35"/>
      <c r="D155" s="101"/>
      <c r="E155" s="101"/>
      <c r="F155" s="101"/>
      <c r="G155" s="35"/>
      <c r="H155" s="26"/>
      <c r="I155" s="35"/>
      <c r="J155" s="35"/>
      <c r="K155" s="35"/>
    </row>
    <row r="156" spans="1:12" x14ac:dyDescent="0.3">
      <c r="A156" s="28">
        <f>A152+1</f>
        <v>73</v>
      </c>
      <c r="B156" s="30" t="s">
        <v>80</v>
      </c>
      <c r="C156" s="34">
        <v>1965</v>
      </c>
      <c r="D156" s="101"/>
      <c r="E156" s="101" t="s">
        <v>102</v>
      </c>
      <c r="F156" s="27">
        <v>5</v>
      </c>
      <c r="G156" s="35">
        <v>3364.2</v>
      </c>
      <c r="H156" s="26">
        <v>162</v>
      </c>
      <c r="I156" s="35">
        <f>SUMIF('2020'!B:B,B156,'2020'!C:C)+SUMIF('2021'!B:B,B156,'2021'!C:C)+SUMIF('2022'!B:B,B156,'2022'!C:C)</f>
        <v>3046949.52</v>
      </c>
      <c r="J156" s="36">
        <v>44925</v>
      </c>
      <c r="K156" s="35" t="s">
        <v>106</v>
      </c>
    </row>
    <row r="157" spans="1:12" x14ac:dyDescent="0.3">
      <c r="A157" s="28">
        <f>A156+1</f>
        <v>74</v>
      </c>
      <c r="B157" s="74" t="s">
        <v>280</v>
      </c>
      <c r="C157" s="75">
        <v>1977</v>
      </c>
      <c r="D157" s="117"/>
      <c r="E157" s="117" t="s">
        <v>102</v>
      </c>
      <c r="F157" s="118">
        <v>5</v>
      </c>
      <c r="G157" s="117">
        <v>4217.8</v>
      </c>
      <c r="H157" s="118">
        <v>157</v>
      </c>
      <c r="I157" s="35">
        <f>SUMIF('2020'!B:B,B157,'2020'!C:C)+SUMIF('2021'!B:B,B157,'2021'!C:C)+SUMIF('2022'!B:B,B157,'2022'!C:C)</f>
        <v>2100604.2600000002</v>
      </c>
      <c r="J157" s="36">
        <v>44925</v>
      </c>
      <c r="K157" s="35" t="s">
        <v>106</v>
      </c>
    </row>
    <row r="158" spans="1:12" x14ac:dyDescent="0.3">
      <c r="A158" s="28">
        <f>A157+1</f>
        <v>75</v>
      </c>
      <c r="B158" s="90" t="s">
        <v>284</v>
      </c>
      <c r="C158" s="84">
        <v>1966</v>
      </c>
      <c r="D158" s="107"/>
      <c r="E158" s="107" t="s">
        <v>102</v>
      </c>
      <c r="F158" s="105">
        <v>5</v>
      </c>
      <c r="G158" s="107">
        <v>2674.8</v>
      </c>
      <c r="H158" s="105">
        <v>150</v>
      </c>
      <c r="I158" s="35">
        <f>SUMIF('2020'!B:B,B158,'2020'!C:C)+SUMIF('2021'!B:B,B158,'2021'!C:C)+SUMIF('2022'!B:B,B158,'2022'!C:C)</f>
        <v>81394.5</v>
      </c>
      <c r="J158" s="36">
        <v>44925</v>
      </c>
      <c r="K158" s="35" t="s">
        <v>106</v>
      </c>
    </row>
    <row r="159" spans="1:12" x14ac:dyDescent="0.3">
      <c r="A159" s="28">
        <f t="shared" ref="A159:A160" si="9">A158+1</f>
        <v>76</v>
      </c>
      <c r="B159" s="90" t="s">
        <v>289</v>
      </c>
      <c r="C159" s="84">
        <v>1971</v>
      </c>
      <c r="D159" s="107"/>
      <c r="E159" s="107" t="s">
        <v>102</v>
      </c>
      <c r="F159" s="105">
        <v>5</v>
      </c>
      <c r="G159" s="107">
        <v>4398.95</v>
      </c>
      <c r="H159" s="105">
        <v>157</v>
      </c>
      <c r="I159" s="35">
        <f>SUMIF('2020'!B:B,B159,'2020'!C:C)+SUMIF('2021'!B:B,B159,'2021'!C:C)+SUMIF('2022'!B:B,B159,'2022'!C:C)</f>
        <v>235222</v>
      </c>
      <c r="J159" s="36">
        <v>44925</v>
      </c>
      <c r="K159" s="35" t="s">
        <v>106</v>
      </c>
    </row>
    <row r="160" spans="1:12" x14ac:dyDescent="0.3">
      <c r="A160" s="28">
        <f t="shared" si="9"/>
        <v>77</v>
      </c>
      <c r="B160" s="30" t="s">
        <v>81</v>
      </c>
      <c r="C160" s="34">
        <v>1966</v>
      </c>
      <c r="D160" s="101"/>
      <c r="E160" s="101" t="s">
        <v>102</v>
      </c>
      <c r="F160" s="27">
        <v>5</v>
      </c>
      <c r="G160" s="35">
        <v>3474.4</v>
      </c>
      <c r="H160" s="26">
        <v>90</v>
      </c>
      <c r="I160" s="35">
        <f>SUMIF('2020'!B:B,B160,'2020'!C:C)+SUMIF('2021'!B:B,B160,'2021'!C:C)+SUMIF('2022'!B:B,B160,'2022'!C:C)</f>
        <v>1258107.4100000001</v>
      </c>
      <c r="J160" s="36">
        <v>44925</v>
      </c>
      <c r="K160" s="35" t="s">
        <v>106</v>
      </c>
    </row>
    <row r="161" spans="1:12" x14ac:dyDescent="0.3">
      <c r="A161" s="350" t="s">
        <v>35</v>
      </c>
      <c r="B161" s="350"/>
      <c r="C161" s="35" t="s">
        <v>143</v>
      </c>
      <c r="D161" s="35" t="s">
        <v>143</v>
      </c>
      <c r="E161" s="35" t="s">
        <v>143</v>
      </c>
      <c r="F161" s="35" t="s">
        <v>143</v>
      </c>
      <c r="G161" s="35">
        <f>SUM(G156:G160)</f>
        <v>18130.150000000001</v>
      </c>
      <c r="H161" s="26">
        <f>SUM(H156:H160)</f>
        <v>716</v>
      </c>
      <c r="I161" s="35">
        <f>SUM(I156:I160)</f>
        <v>6722277.6900000004</v>
      </c>
      <c r="J161" s="35" t="s">
        <v>143</v>
      </c>
      <c r="K161" s="35" t="s">
        <v>143</v>
      </c>
    </row>
    <row r="162" spans="1:12" s="50" customFormat="1" x14ac:dyDescent="0.3">
      <c r="A162" s="354" t="s">
        <v>82</v>
      </c>
      <c r="B162" s="354"/>
      <c r="C162" s="98" t="s">
        <v>143</v>
      </c>
      <c r="D162" s="98" t="s">
        <v>143</v>
      </c>
      <c r="E162" s="98" t="s">
        <v>143</v>
      </c>
      <c r="F162" s="98" t="s">
        <v>143</v>
      </c>
      <c r="G162" s="98">
        <f>G161</f>
        <v>18130.150000000001</v>
      </c>
      <c r="H162" s="99">
        <f>H161</f>
        <v>716</v>
      </c>
      <c r="I162" s="98">
        <f>I161</f>
        <v>6722277.6900000004</v>
      </c>
      <c r="J162" s="98" t="s">
        <v>143</v>
      </c>
      <c r="K162" s="98" t="s">
        <v>143</v>
      </c>
      <c r="L162" s="49">
        <f>I162-'2020'!C29-'2021'!C115</f>
        <v>0</v>
      </c>
    </row>
    <row r="163" spans="1:12" s="50" customFormat="1" x14ac:dyDescent="0.3">
      <c r="A163" s="360" t="s">
        <v>83</v>
      </c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</row>
    <row r="164" spans="1:12" ht="15.6" customHeight="1" x14ac:dyDescent="0.3">
      <c r="A164" s="356" t="s">
        <v>84</v>
      </c>
      <c r="B164" s="356"/>
      <c r="C164" s="35"/>
      <c r="D164" s="101"/>
      <c r="E164" s="101"/>
      <c r="F164" s="101"/>
      <c r="G164" s="35"/>
      <c r="H164" s="26"/>
      <c r="I164" s="35"/>
      <c r="J164" s="35"/>
      <c r="K164" s="35"/>
    </row>
    <row r="165" spans="1:12" ht="15.6" customHeight="1" x14ac:dyDescent="0.3">
      <c r="A165" s="28">
        <f>A160+1</f>
        <v>78</v>
      </c>
      <c r="B165" s="30" t="s">
        <v>85</v>
      </c>
      <c r="C165" s="34">
        <v>1972</v>
      </c>
      <c r="D165" s="101"/>
      <c r="E165" s="101" t="s">
        <v>100</v>
      </c>
      <c r="F165" s="26">
        <v>9</v>
      </c>
      <c r="G165" s="35">
        <v>13377.9</v>
      </c>
      <c r="H165" s="26">
        <v>0</v>
      </c>
      <c r="I165" s="35">
        <f>SUMIF('2020'!B:B,B165,'2020'!C:C)+SUMIF('2021'!B:B,B165,'2021'!C:C)+SUMIF('2022'!B:B,B165,'2022'!C:C)</f>
        <v>130000</v>
      </c>
      <c r="J165" s="36">
        <v>44925</v>
      </c>
      <c r="K165" s="35" t="s">
        <v>106</v>
      </c>
    </row>
    <row r="166" spans="1:12" s="50" customFormat="1" x14ac:dyDescent="0.3">
      <c r="A166" s="354" t="s">
        <v>86</v>
      </c>
      <c r="B166" s="354"/>
      <c r="C166" s="98" t="s">
        <v>143</v>
      </c>
      <c r="D166" s="98" t="s">
        <v>143</v>
      </c>
      <c r="E166" s="98" t="s">
        <v>143</v>
      </c>
      <c r="F166" s="98" t="s">
        <v>143</v>
      </c>
      <c r="G166" s="98">
        <f>G165</f>
        <v>13377.9</v>
      </c>
      <c r="H166" s="98">
        <f>H165</f>
        <v>0</v>
      </c>
      <c r="I166" s="98">
        <f>I165</f>
        <v>130000</v>
      </c>
      <c r="J166" s="98" t="s">
        <v>143</v>
      </c>
      <c r="K166" s="98" t="s">
        <v>143</v>
      </c>
      <c r="L166" s="49">
        <f>I166-'2021'!C123</f>
        <v>0</v>
      </c>
    </row>
    <row r="167" spans="1:12" s="50" customFormat="1" ht="15.6" customHeight="1" x14ac:dyDescent="0.3">
      <c r="A167" s="353" t="s">
        <v>189</v>
      </c>
      <c r="B167" s="353"/>
      <c r="C167" s="353"/>
      <c r="D167" s="353"/>
      <c r="E167" s="353"/>
      <c r="F167" s="353"/>
      <c r="G167" s="353"/>
      <c r="H167" s="353"/>
      <c r="I167" s="353"/>
      <c r="J167" s="353"/>
      <c r="K167" s="100"/>
    </row>
    <row r="168" spans="1:12" s="50" customFormat="1" ht="15.6" customHeight="1" x14ac:dyDescent="0.3">
      <c r="A168" s="119" t="s">
        <v>287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1"/>
    </row>
    <row r="169" spans="1:12" s="50" customFormat="1" ht="15.6" customHeight="1" x14ac:dyDescent="0.3">
      <c r="A169" s="84">
        <f>A165+1</f>
        <v>79</v>
      </c>
      <c r="B169" s="90" t="s">
        <v>285</v>
      </c>
      <c r="C169" s="84">
        <v>1978</v>
      </c>
      <c r="D169" s="107"/>
      <c r="E169" s="107" t="s">
        <v>101</v>
      </c>
      <c r="F169" s="105">
        <v>5</v>
      </c>
      <c r="G169" s="107">
        <v>3245.6</v>
      </c>
      <c r="H169" s="105">
        <v>158</v>
      </c>
      <c r="I169" s="35">
        <f>SUMIF('2020'!B:B,B169,'2020'!C:C)+SUMIF('2021'!B:B,B169,'2021'!C:C)+SUMIF('2022'!B:B,B169,'2022'!C:C)</f>
        <v>255571.43</v>
      </c>
      <c r="J169" s="36">
        <v>44925</v>
      </c>
      <c r="K169" s="35" t="s">
        <v>106</v>
      </c>
    </row>
    <row r="170" spans="1:12" s="50" customFormat="1" ht="15.6" customHeight="1" x14ac:dyDescent="0.3">
      <c r="A170" s="84">
        <f>A169+1</f>
        <v>80</v>
      </c>
      <c r="B170" s="90" t="s">
        <v>286</v>
      </c>
      <c r="C170" s="84">
        <v>1991</v>
      </c>
      <c r="D170" s="107"/>
      <c r="E170" s="107" t="s">
        <v>101</v>
      </c>
      <c r="F170" s="105">
        <v>5</v>
      </c>
      <c r="G170" s="107">
        <v>3371</v>
      </c>
      <c r="H170" s="105">
        <v>150</v>
      </c>
      <c r="I170" s="35">
        <f>SUMIF('2020'!B:B,B170,'2020'!C:C)+SUMIF('2021'!B:B,B170,'2021'!C:C)+SUMIF('2022'!B:B,B170,'2022'!C:C)</f>
        <v>479057.95999999996</v>
      </c>
      <c r="J170" s="36">
        <v>44925</v>
      </c>
      <c r="K170" s="35" t="s">
        <v>106</v>
      </c>
    </row>
    <row r="171" spans="1:12" s="50" customFormat="1" ht="15.6" customHeight="1" x14ac:dyDescent="0.3">
      <c r="A171" s="350" t="s">
        <v>35</v>
      </c>
      <c r="B171" s="350"/>
      <c r="C171" s="35" t="s">
        <v>143</v>
      </c>
      <c r="D171" s="35" t="s">
        <v>143</v>
      </c>
      <c r="E171" s="35" t="s">
        <v>143</v>
      </c>
      <c r="F171" s="35" t="s">
        <v>143</v>
      </c>
      <c r="G171" s="122">
        <f>G169+G170</f>
        <v>6616.6</v>
      </c>
      <c r="H171" s="123">
        <f>H169+H170</f>
        <v>308</v>
      </c>
      <c r="I171" s="122">
        <f>I169+I170</f>
        <v>734629.3899999999</v>
      </c>
      <c r="J171" s="84" t="s">
        <v>143</v>
      </c>
      <c r="K171" s="124" t="s">
        <v>143</v>
      </c>
    </row>
    <row r="172" spans="1:12" ht="15.6" customHeight="1" x14ac:dyDescent="0.3">
      <c r="A172" s="355" t="s">
        <v>187</v>
      </c>
      <c r="B172" s="355"/>
      <c r="C172" s="35"/>
      <c r="D172" s="101"/>
      <c r="E172" s="101"/>
      <c r="F172" s="27"/>
      <c r="G172" s="27"/>
      <c r="H172" s="35"/>
      <c r="I172" s="36"/>
      <c r="J172" s="35"/>
      <c r="K172" s="62"/>
    </row>
    <row r="173" spans="1:12" x14ac:dyDescent="0.3">
      <c r="A173" s="25">
        <f>A170+1</f>
        <v>81</v>
      </c>
      <c r="B173" s="30" t="s">
        <v>188</v>
      </c>
      <c r="C173" s="34">
        <v>1990</v>
      </c>
      <c r="D173" s="27"/>
      <c r="E173" s="125" t="s">
        <v>135</v>
      </c>
      <c r="F173" s="27">
        <v>5</v>
      </c>
      <c r="G173" s="101">
        <v>6613.35</v>
      </c>
      <c r="H173" s="27">
        <v>298</v>
      </c>
      <c r="I173" s="35">
        <f>SUMIF('2020'!B:B,B173,'2020'!C:C)+SUMIF('2021'!B:B,B173,'2021'!C:C)+SUMIF('2022'!B:B,B173,'2022'!C:C)</f>
        <v>1493606.71</v>
      </c>
      <c r="J173" s="36">
        <v>44925</v>
      </c>
      <c r="K173" s="35" t="s">
        <v>151</v>
      </c>
    </row>
    <row r="174" spans="1:12" x14ac:dyDescent="0.3">
      <c r="A174" s="25">
        <f>A173+1</f>
        <v>82</v>
      </c>
      <c r="B174" s="30" t="s">
        <v>241</v>
      </c>
      <c r="C174" s="75">
        <v>1986</v>
      </c>
      <c r="D174" s="126">
        <v>2019</v>
      </c>
      <c r="E174" s="127" t="s">
        <v>135</v>
      </c>
      <c r="F174" s="128">
        <v>5</v>
      </c>
      <c r="G174" s="117">
        <v>3273.7</v>
      </c>
      <c r="H174" s="118">
        <v>145</v>
      </c>
      <c r="I174" s="35">
        <f>SUMIF('2020'!B:B,B174,'2020'!C:C)+SUMIF('2021'!B:B,B174,'2021'!C:C)+SUMIF('2022'!B:B,B174,'2022'!C:C)</f>
        <v>1024444.9</v>
      </c>
      <c r="J174" s="36">
        <v>44925</v>
      </c>
      <c r="K174" s="129" t="s">
        <v>106</v>
      </c>
    </row>
    <row r="175" spans="1:12" x14ac:dyDescent="0.3">
      <c r="A175" s="25">
        <f t="shared" ref="A175:A212" si="10">A174+1</f>
        <v>83</v>
      </c>
      <c r="B175" s="130" t="s">
        <v>242</v>
      </c>
      <c r="C175" s="131">
        <v>1996</v>
      </c>
      <c r="D175" s="126">
        <v>2019</v>
      </c>
      <c r="E175" s="127" t="s">
        <v>108</v>
      </c>
      <c r="F175" s="128">
        <v>9</v>
      </c>
      <c r="G175" s="117">
        <v>3971.5</v>
      </c>
      <c r="H175" s="118">
        <v>165</v>
      </c>
      <c r="I175" s="35">
        <f>SUMIF('2020'!B:B,B175,'2020'!C:C)+SUMIF('2021'!B:B,B175,'2021'!C:C)+SUMIF('2022'!B:B,B175,'2022'!C:C)</f>
        <v>658786.15</v>
      </c>
      <c r="J175" s="36">
        <v>44925</v>
      </c>
      <c r="K175" s="129" t="s">
        <v>106</v>
      </c>
    </row>
    <row r="176" spans="1:12" x14ac:dyDescent="0.3">
      <c r="A176" s="25">
        <f t="shared" si="10"/>
        <v>84</v>
      </c>
      <c r="B176" s="130" t="s">
        <v>243</v>
      </c>
      <c r="C176" s="131">
        <v>1977</v>
      </c>
      <c r="D176" s="126"/>
      <c r="E176" s="127" t="s">
        <v>132</v>
      </c>
      <c r="F176" s="128">
        <v>5</v>
      </c>
      <c r="G176" s="117">
        <v>7105.68</v>
      </c>
      <c r="H176" s="118">
        <v>279</v>
      </c>
      <c r="I176" s="35">
        <f>SUMIF('2020'!B:B,B176,'2020'!C:C)+SUMIF('2021'!B:B,B176,'2021'!C:C)+SUMIF('2022'!B:B,B176,'2022'!C:C)</f>
        <v>678456.59</v>
      </c>
      <c r="J176" s="36">
        <v>44925</v>
      </c>
      <c r="K176" s="129" t="s">
        <v>106</v>
      </c>
    </row>
    <row r="177" spans="1:12" x14ac:dyDescent="0.3">
      <c r="A177" s="25">
        <f t="shared" si="10"/>
        <v>85</v>
      </c>
      <c r="B177" s="130" t="s">
        <v>244</v>
      </c>
      <c r="C177" s="131">
        <v>1969</v>
      </c>
      <c r="D177" s="126"/>
      <c r="E177" s="127" t="s">
        <v>108</v>
      </c>
      <c r="F177" s="128">
        <v>5</v>
      </c>
      <c r="G177" s="117">
        <v>2649.16</v>
      </c>
      <c r="H177" s="118">
        <v>139</v>
      </c>
      <c r="I177" s="35">
        <f>SUMIF('2020'!B:B,B177,'2020'!C:C)+SUMIF('2021'!B:B,B177,'2021'!C:C)+SUMIF('2022'!B:B,B177,'2022'!C:C)</f>
        <v>613397.12</v>
      </c>
      <c r="J177" s="36">
        <v>44925</v>
      </c>
      <c r="K177" s="129" t="s">
        <v>106</v>
      </c>
    </row>
    <row r="178" spans="1:12" x14ac:dyDescent="0.3">
      <c r="A178" s="25">
        <f t="shared" si="10"/>
        <v>86</v>
      </c>
      <c r="B178" s="130" t="s">
        <v>245</v>
      </c>
      <c r="C178" s="131">
        <v>1972</v>
      </c>
      <c r="D178" s="126"/>
      <c r="E178" s="127" t="s">
        <v>108</v>
      </c>
      <c r="F178" s="128">
        <v>5</v>
      </c>
      <c r="G178" s="117">
        <v>5631.81</v>
      </c>
      <c r="H178" s="118">
        <v>294</v>
      </c>
      <c r="I178" s="35">
        <f>SUMIF('2020'!B:B,B178,'2020'!C:C)+SUMIF('2021'!B:B,B178,'2021'!C:C)+SUMIF('2022'!B:B,B178,'2022'!C:C)</f>
        <v>1854221.05</v>
      </c>
      <c r="J178" s="36">
        <v>44925</v>
      </c>
      <c r="K178" s="129" t="s">
        <v>106</v>
      </c>
    </row>
    <row r="179" spans="1:12" x14ac:dyDescent="0.3">
      <c r="A179" s="25">
        <f t="shared" si="10"/>
        <v>87</v>
      </c>
      <c r="B179" s="130" t="s">
        <v>246</v>
      </c>
      <c r="C179" s="131">
        <v>1971</v>
      </c>
      <c r="D179" s="126"/>
      <c r="E179" s="127" t="s">
        <v>108</v>
      </c>
      <c r="F179" s="128">
        <v>5</v>
      </c>
      <c r="G179" s="117">
        <v>2706.7</v>
      </c>
      <c r="H179" s="118">
        <v>126</v>
      </c>
      <c r="I179" s="35">
        <f>SUMIF('2020'!B:B,B179,'2020'!C:C)+SUMIF('2021'!B:B,B179,'2021'!C:C)+SUMIF('2022'!B:B,B179,'2022'!C:C)</f>
        <v>555434.44999999995</v>
      </c>
      <c r="J179" s="36">
        <v>44925</v>
      </c>
      <c r="K179" s="129" t="s">
        <v>106</v>
      </c>
    </row>
    <row r="180" spans="1:12" x14ac:dyDescent="0.3">
      <c r="A180" s="25">
        <f t="shared" si="10"/>
        <v>88</v>
      </c>
      <c r="B180" s="130" t="s">
        <v>247</v>
      </c>
      <c r="C180" s="131">
        <v>1981</v>
      </c>
      <c r="D180" s="126"/>
      <c r="E180" s="127" t="s">
        <v>132</v>
      </c>
      <c r="F180" s="128">
        <v>9</v>
      </c>
      <c r="G180" s="117">
        <v>12881.66</v>
      </c>
      <c r="H180" s="118">
        <v>468</v>
      </c>
      <c r="I180" s="35">
        <f>SUMIF('2020'!B:B,B180,'2020'!C:C)+SUMIF('2021'!B:B,B180,'2021'!C:C)+SUMIF('2022'!B:B,B180,'2022'!C:C)</f>
        <v>2721744.67</v>
      </c>
      <c r="J180" s="36">
        <v>44925</v>
      </c>
      <c r="K180" s="129" t="s">
        <v>106</v>
      </c>
    </row>
    <row r="181" spans="1:12" x14ac:dyDescent="0.3">
      <c r="A181" s="25">
        <f t="shared" si="10"/>
        <v>89</v>
      </c>
      <c r="B181" s="130" t="s">
        <v>279</v>
      </c>
      <c r="C181" s="131">
        <v>1982</v>
      </c>
      <c r="D181" s="126"/>
      <c r="E181" s="127" t="s">
        <v>135</v>
      </c>
      <c r="F181" s="128">
        <v>5</v>
      </c>
      <c r="G181" s="117">
        <v>3010.6</v>
      </c>
      <c r="H181" s="118">
        <v>152</v>
      </c>
      <c r="I181" s="35">
        <f>SUMIF('2020'!B:B,B181,'2020'!C:C)+SUMIF('2021'!B:B,B181,'2021'!C:C)+SUMIF('2022'!B:B,B181,'2022'!C:C)</f>
        <v>1012392.52</v>
      </c>
      <c r="J181" s="36">
        <v>44925</v>
      </c>
      <c r="K181" s="129" t="s">
        <v>106</v>
      </c>
    </row>
    <row r="182" spans="1:12" x14ac:dyDescent="0.3">
      <c r="A182" s="25">
        <f t="shared" si="10"/>
        <v>90</v>
      </c>
      <c r="B182" s="130" t="s">
        <v>248</v>
      </c>
      <c r="C182" s="131">
        <v>1969</v>
      </c>
      <c r="D182" s="126"/>
      <c r="E182" s="127" t="s">
        <v>108</v>
      </c>
      <c r="F182" s="128">
        <v>5</v>
      </c>
      <c r="G182" s="117">
        <v>3494.4</v>
      </c>
      <c r="H182" s="118">
        <v>171</v>
      </c>
      <c r="I182" s="35">
        <f>SUMIF('2020'!B:B,B182,'2020'!C:C)+SUMIF('2021'!B:B,B182,'2021'!C:C)+SUMIF('2022'!B:B,B182,'2022'!C:C)</f>
        <v>208315.93</v>
      </c>
      <c r="J182" s="36">
        <v>44925</v>
      </c>
      <c r="K182" s="129" t="s">
        <v>106</v>
      </c>
    </row>
    <row r="183" spans="1:12" x14ac:dyDescent="0.3">
      <c r="A183" s="25">
        <f t="shared" si="10"/>
        <v>91</v>
      </c>
      <c r="B183" s="130" t="s">
        <v>249</v>
      </c>
      <c r="C183" s="131">
        <v>1991</v>
      </c>
      <c r="D183" s="126">
        <v>2019</v>
      </c>
      <c r="E183" s="127" t="s">
        <v>135</v>
      </c>
      <c r="F183" s="128">
        <v>5</v>
      </c>
      <c r="G183" s="117">
        <v>3722.3</v>
      </c>
      <c r="H183" s="118">
        <v>155</v>
      </c>
      <c r="I183" s="35">
        <f>SUMIF('2020'!B:B,B183,'2020'!C:C)+SUMIF('2021'!B:B,B183,'2021'!C:C)+SUMIF('2022'!B:B,B183,'2022'!C:C)</f>
        <v>754536.68</v>
      </c>
      <c r="J183" s="36">
        <v>44925</v>
      </c>
      <c r="K183" s="129" t="s">
        <v>106</v>
      </c>
    </row>
    <row r="184" spans="1:12" x14ac:dyDescent="0.3">
      <c r="A184" s="25">
        <f t="shared" si="10"/>
        <v>92</v>
      </c>
      <c r="B184" s="130" t="s">
        <v>250</v>
      </c>
      <c r="C184" s="131">
        <v>1970</v>
      </c>
      <c r="D184" s="126"/>
      <c r="E184" s="127" t="s">
        <v>132</v>
      </c>
      <c r="F184" s="128">
        <v>5</v>
      </c>
      <c r="G184" s="117">
        <v>4962.2700000000004</v>
      </c>
      <c r="H184" s="118">
        <v>178</v>
      </c>
      <c r="I184" s="35">
        <f>SUMIF('2020'!B:B,B184,'2020'!C:C)+SUMIF('2021'!B:B,B184,'2021'!C:C)+SUMIF('2022'!B:B,B184,'2022'!C:C)</f>
        <v>1759221.84</v>
      </c>
      <c r="J184" s="36">
        <v>44925</v>
      </c>
      <c r="K184" s="129" t="s">
        <v>106</v>
      </c>
    </row>
    <row r="185" spans="1:12" x14ac:dyDescent="0.3">
      <c r="A185" s="25">
        <f t="shared" si="10"/>
        <v>93</v>
      </c>
      <c r="B185" s="130" t="s">
        <v>251</v>
      </c>
      <c r="C185" s="131">
        <v>1978</v>
      </c>
      <c r="D185" s="126">
        <v>2019</v>
      </c>
      <c r="E185" s="127" t="s">
        <v>108</v>
      </c>
      <c r="F185" s="128">
        <v>5</v>
      </c>
      <c r="G185" s="117">
        <v>3983.54</v>
      </c>
      <c r="H185" s="118">
        <v>197</v>
      </c>
      <c r="I185" s="35">
        <f>SUMIF('2020'!B:B,B185,'2020'!C:C)+SUMIF('2021'!B:B,B185,'2021'!C:C)+SUMIF('2022'!B:B,B185,'2022'!C:C)</f>
        <v>1277250.68</v>
      </c>
      <c r="J185" s="36">
        <v>44925</v>
      </c>
      <c r="K185" s="129" t="s">
        <v>106</v>
      </c>
    </row>
    <row r="186" spans="1:12" x14ac:dyDescent="0.3">
      <c r="A186" s="25">
        <f t="shared" si="10"/>
        <v>94</v>
      </c>
      <c r="B186" s="130" t="s">
        <v>252</v>
      </c>
      <c r="C186" s="131">
        <v>1984</v>
      </c>
      <c r="D186" s="126"/>
      <c r="E186" s="127" t="s">
        <v>108</v>
      </c>
      <c r="F186" s="128">
        <v>5</v>
      </c>
      <c r="G186" s="117">
        <v>4812.8999999999996</v>
      </c>
      <c r="H186" s="118">
        <v>218</v>
      </c>
      <c r="I186" s="35">
        <f>SUMIF('2020'!B:B,B186,'2020'!C:C)+SUMIF('2021'!B:B,B186,'2021'!C:C)+SUMIF('2022'!B:B,B186,'2022'!C:C)</f>
        <v>931092.88</v>
      </c>
      <c r="J186" s="36">
        <v>44925</v>
      </c>
      <c r="K186" s="129" t="s">
        <v>106</v>
      </c>
      <c r="L186" s="129" t="s">
        <v>106</v>
      </c>
    </row>
    <row r="187" spans="1:12" x14ac:dyDescent="0.3">
      <c r="A187" s="25">
        <f t="shared" si="10"/>
        <v>95</v>
      </c>
      <c r="B187" s="130" t="s">
        <v>253</v>
      </c>
      <c r="C187" s="131">
        <v>1983</v>
      </c>
      <c r="D187" s="126"/>
      <c r="E187" s="127" t="s">
        <v>108</v>
      </c>
      <c r="F187" s="128">
        <v>5</v>
      </c>
      <c r="G187" s="117">
        <v>4527.8999999999996</v>
      </c>
      <c r="H187" s="118">
        <v>217</v>
      </c>
      <c r="I187" s="35">
        <f>SUMIF('2020'!B:B,B187,'2020'!C:C)+SUMIF('2021'!B:B,B187,'2021'!C:C)+SUMIF('2022'!B:B,B187,'2022'!C:C)</f>
        <v>1113524.8</v>
      </c>
      <c r="J187" s="36">
        <v>44925</v>
      </c>
      <c r="K187" s="129" t="s">
        <v>106</v>
      </c>
    </row>
    <row r="188" spans="1:12" x14ac:dyDescent="0.3">
      <c r="A188" s="25">
        <f t="shared" si="10"/>
        <v>96</v>
      </c>
      <c r="B188" s="130" t="s">
        <v>254</v>
      </c>
      <c r="C188" s="131">
        <v>1978</v>
      </c>
      <c r="D188" s="126"/>
      <c r="E188" s="127" t="s">
        <v>135</v>
      </c>
      <c r="F188" s="128">
        <v>9</v>
      </c>
      <c r="G188" s="117">
        <v>9788.9500000000007</v>
      </c>
      <c r="H188" s="118">
        <v>483</v>
      </c>
      <c r="I188" s="35">
        <f>SUMIF('2020'!B:B,B188,'2020'!C:C)+SUMIF('2021'!B:B,B188,'2021'!C:C)+SUMIF('2022'!B:B,B188,'2022'!C:C)</f>
        <v>1292192.51</v>
      </c>
      <c r="J188" s="36">
        <v>44925</v>
      </c>
      <c r="K188" s="129" t="s">
        <v>106</v>
      </c>
    </row>
    <row r="189" spans="1:12" x14ac:dyDescent="0.3">
      <c r="A189" s="25">
        <f t="shared" si="10"/>
        <v>97</v>
      </c>
      <c r="B189" s="130" t="s">
        <v>255</v>
      </c>
      <c r="C189" s="131">
        <v>1979</v>
      </c>
      <c r="D189" s="126"/>
      <c r="E189" s="127" t="s">
        <v>135</v>
      </c>
      <c r="F189" s="128">
        <v>9</v>
      </c>
      <c r="G189" s="117">
        <v>9766.9</v>
      </c>
      <c r="H189" s="118">
        <v>530</v>
      </c>
      <c r="I189" s="35">
        <f>SUMIF('2020'!B:B,B189,'2020'!C:C)+SUMIF('2021'!B:B,B189,'2021'!C:C)+SUMIF('2022'!B:B,B189,'2022'!C:C)</f>
        <v>868382.86</v>
      </c>
      <c r="J189" s="36">
        <v>44925</v>
      </c>
      <c r="K189" s="129" t="s">
        <v>106</v>
      </c>
    </row>
    <row r="190" spans="1:12" x14ac:dyDescent="0.3">
      <c r="A190" s="25">
        <f t="shared" si="10"/>
        <v>98</v>
      </c>
      <c r="B190" s="130" t="s">
        <v>256</v>
      </c>
      <c r="C190" s="131">
        <v>1984</v>
      </c>
      <c r="D190" s="126"/>
      <c r="E190" s="127" t="s">
        <v>135</v>
      </c>
      <c r="F190" s="128">
        <v>5</v>
      </c>
      <c r="G190" s="117">
        <v>4811.3100000000004</v>
      </c>
      <c r="H190" s="118">
        <v>225</v>
      </c>
      <c r="I190" s="35">
        <f>SUMIF('2020'!B:B,B190,'2020'!C:C)+SUMIF('2021'!B:B,B190,'2021'!C:C)+SUMIF('2022'!B:B,B190,'2022'!C:C)</f>
        <v>1009419.11</v>
      </c>
      <c r="J190" s="36">
        <v>44925</v>
      </c>
      <c r="K190" s="129" t="s">
        <v>106</v>
      </c>
    </row>
    <row r="191" spans="1:12" x14ac:dyDescent="0.3">
      <c r="A191" s="25">
        <f t="shared" si="10"/>
        <v>99</v>
      </c>
      <c r="B191" s="130" t="s">
        <v>257</v>
      </c>
      <c r="C191" s="131">
        <v>1987</v>
      </c>
      <c r="D191" s="126">
        <v>2019</v>
      </c>
      <c r="E191" s="127" t="s">
        <v>135</v>
      </c>
      <c r="F191" s="128">
        <v>5</v>
      </c>
      <c r="G191" s="117">
        <v>4793.2</v>
      </c>
      <c r="H191" s="118">
        <v>209</v>
      </c>
      <c r="I191" s="35">
        <f>SUMIF('2020'!B:B,B191,'2020'!C:C)+SUMIF('2021'!B:B,B191,'2021'!C:C)+SUMIF('2022'!B:B,B191,'2022'!C:C)</f>
        <v>1647739.96</v>
      </c>
      <c r="J191" s="36">
        <v>44925</v>
      </c>
      <c r="K191" s="129" t="s">
        <v>106</v>
      </c>
    </row>
    <row r="192" spans="1:12" x14ac:dyDescent="0.3">
      <c r="A192" s="25">
        <f t="shared" si="10"/>
        <v>100</v>
      </c>
      <c r="B192" s="130" t="s">
        <v>258</v>
      </c>
      <c r="C192" s="131">
        <v>1981</v>
      </c>
      <c r="D192" s="126"/>
      <c r="E192" s="127" t="s">
        <v>135</v>
      </c>
      <c r="F192" s="128">
        <v>9</v>
      </c>
      <c r="G192" s="117">
        <v>13865.44</v>
      </c>
      <c r="H192" s="118">
        <v>728</v>
      </c>
      <c r="I192" s="35">
        <f>SUMIF('2020'!B:B,B192,'2020'!C:C)+SUMIF('2021'!B:B,B192,'2021'!C:C)+SUMIF('2022'!B:B,B192,'2022'!C:C)</f>
        <v>2906325.53</v>
      </c>
      <c r="J192" s="36">
        <v>44925</v>
      </c>
      <c r="K192" s="129" t="s">
        <v>106</v>
      </c>
    </row>
    <row r="193" spans="1:11" x14ac:dyDescent="0.3">
      <c r="A193" s="25">
        <f t="shared" si="10"/>
        <v>101</v>
      </c>
      <c r="B193" s="130" t="s">
        <v>259</v>
      </c>
      <c r="C193" s="131">
        <v>1983</v>
      </c>
      <c r="D193" s="126"/>
      <c r="E193" s="127" t="s">
        <v>108</v>
      </c>
      <c r="F193" s="128">
        <v>5</v>
      </c>
      <c r="G193" s="117">
        <v>6105.22</v>
      </c>
      <c r="H193" s="118">
        <v>288</v>
      </c>
      <c r="I193" s="35">
        <f>SUMIF('2020'!B:B,B193,'2020'!C:C)+SUMIF('2021'!B:B,B193,'2021'!C:C)+SUMIF('2022'!B:B,B193,'2022'!C:C)</f>
        <v>1215027.28</v>
      </c>
      <c r="J193" s="36">
        <v>44925</v>
      </c>
      <c r="K193" s="129" t="s">
        <v>106</v>
      </c>
    </row>
    <row r="194" spans="1:11" x14ac:dyDescent="0.3">
      <c r="A194" s="25">
        <f t="shared" si="10"/>
        <v>102</v>
      </c>
      <c r="B194" s="130" t="s">
        <v>260</v>
      </c>
      <c r="C194" s="131">
        <v>1986</v>
      </c>
      <c r="D194" s="126">
        <v>2019</v>
      </c>
      <c r="E194" s="127" t="s">
        <v>108</v>
      </c>
      <c r="F194" s="128">
        <v>9</v>
      </c>
      <c r="G194" s="117">
        <v>7963.1</v>
      </c>
      <c r="H194" s="118">
        <v>400</v>
      </c>
      <c r="I194" s="35">
        <f>SUMIF('2020'!B:B,B194,'2020'!C:C)+SUMIF('2021'!B:B,B194,'2021'!C:C)+SUMIF('2022'!B:B,B194,'2022'!C:C)</f>
        <v>1816566.42</v>
      </c>
      <c r="J194" s="36">
        <v>44925</v>
      </c>
      <c r="K194" s="129" t="s">
        <v>106</v>
      </c>
    </row>
    <row r="195" spans="1:11" x14ac:dyDescent="0.3">
      <c r="A195" s="25">
        <f t="shared" si="10"/>
        <v>103</v>
      </c>
      <c r="B195" s="130" t="s">
        <v>261</v>
      </c>
      <c r="C195" s="131">
        <v>1986</v>
      </c>
      <c r="D195" s="126"/>
      <c r="E195" s="127" t="s">
        <v>135</v>
      </c>
      <c r="F195" s="128">
        <v>5</v>
      </c>
      <c r="G195" s="117">
        <v>2645.26</v>
      </c>
      <c r="H195" s="118">
        <v>130</v>
      </c>
      <c r="I195" s="35">
        <f>SUMIF('2020'!B:B,B195,'2020'!C:C)+SUMIF('2021'!B:B,B195,'2021'!C:C)+SUMIF('2022'!B:B,B195,'2022'!C:C)</f>
        <v>567691.91</v>
      </c>
      <c r="J195" s="36">
        <v>44925</v>
      </c>
      <c r="K195" s="129" t="s">
        <v>106</v>
      </c>
    </row>
    <row r="196" spans="1:11" x14ac:dyDescent="0.3">
      <c r="A196" s="25">
        <f t="shared" si="10"/>
        <v>104</v>
      </c>
      <c r="B196" s="130" t="s">
        <v>262</v>
      </c>
      <c r="C196" s="131">
        <v>1986</v>
      </c>
      <c r="D196" s="126"/>
      <c r="E196" s="127" t="s">
        <v>135</v>
      </c>
      <c r="F196" s="128">
        <v>4</v>
      </c>
      <c r="G196" s="117">
        <v>2073.61</v>
      </c>
      <c r="H196" s="118">
        <v>96</v>
      </c>
      <c r="I196" s="35">
        <f>SUMIF('2020'!B:B,B196,'2020'!C:C)+SUMIF('2021'!B:B,B196,'2021'!C:C)+SUMIF('2022'!B:B,B196,'2022'!C:C)</f>
        <v>438869.27</v>
      </c>
      <c r="J196" s="36">
        <v>44925</v>
      </c>
      <c r="K196" s="129" t="s">
        <v>106</v>
      </c>
    </row>
    <row r="197" spans="1:11" x14ac:dyDescent="0.3">
      <c r="A197" s="25">
        <f t="shared" si="10"/>
        <v>105</v>
      </c>
      <c r="B197" s="130" t="s">
        <v>263</v>
      </c>
      <c r="C197" s="131">
        <v>1992</v>
      </c>
      <c r="D197" s="126"/>
      <c r="E197" s="127" t="s">
        <v>135</v>
      </c>
      <c r="F197" s="128">
        <v>5</v>
      </c>
      <c r="G197" s="117">
        <v>3896.36</v>
      </c>
      <c r="H197" s="118">
        <v>184</v>
      </c>
      <c r="I197" s="35">
        <f>SUMIF('2020'!B:B,B197,'2020'!C:C)+SUMIF('2021'!B:B,B197,'2021'!C:C)+SUMIF('2022'!B:B,B197,'2022'!C:C)</f>
        <v>1164168.6100000001</v>
      </c>
      <c r="J197" s="36">
        <v>44925</v>
      </c>
      <c r="K197" s="129" t="s">
        <v>106</v>
      </c>
    </row>
    <row r="198" spans="1:11" x14ac:dyDescent="0.3">
      <c r="A198" s="25">
        <f t="shared" si="10"/>
        <v>106</v>
      </c>
      <c r="B198" s="130" t="s">
        <v>264</v>
      </c>
      <c r="C198" s="131">
        <v>1978</v>
      </c>
      <c r="D198" s="126"/>
      <c r="E198" s="127" t="s">
        <v>135</v>
      </c>
      <c r="F198" s="128">
        <v>5</v>
      </c>
      <c r="G198" s="117">
        <v>8461.14</v>
      </c>
      <c r="H198" s="118">
        <v>399</v>
      </c>
      <c r="I198" s="35">
        <f>SUMIF('2020'!B:B,B198,'2020'!C:C)+SUMIF('2021'!B:B,B198,'2021'!C:C)+SUMIF('2022'!B:B,B198,'2022'!C:C)</f>
        <v>2457487.06</v>
      </c>
      <c r="J198" s="36">
        <v>44925</v>
      </c>
      <c r="K198" s="129" t="s">
        <v>106</v>
      </c>
    </row>
    <row r="199" spans="1:11" x14ac:dyDescent="0.3">
      <c r="A199" s="25">
        <f t="shared" si="10"/>
        <v>107</v>
      </c>
      <c r="B199" s="130" t="s">
        <v>265</v>
      </c>
      <c r="C199" s="131">
        <v>1998</v>
      </c>
      <c r="D199" s="126"/>
      <c r="E199" s="127" t="s">
        <v>135</v>
      </c>
      <c r="F199" s="128">
        <v>5</v>
      </c>
      <c r="G199" s="117">
        <v>4807.8999999999996</v>
      </c>
      <c r="H199" s="118">
        <v>198</v>
      </c>
      <c r="I199" s="35">
        <f>SUMIF('2020'!B:B,B199,'2020'!C:C)+SUMIF('2021'!B:B,B199,'2021'!C:C)+SUMIF('2022'!B:B,B199,'2022'!C:C)</f>
        <v>1129227.03</v>
      </c>
      <c r="J199" s="36">
        <v>44925</v>
      </c>
      <c r="K199" s="129" t="s">
        <v>106</v>
      </c>
    </row>
    <row r="200" spans="1:11" x14ac:dyDescent="0.3">
      <c r="A200" s="25">
        <f t="shared" si="10"/>
        <v>108</v>
      </c>
      <c r="B200" s="130" t="s">
        <v>266</v>
      </c>
      <c r="C200" s="131">
        <v>1984</v>
      </c>
      <c r="D200" s="126"/>
      <c r="E200" s="127" t="s">
        <v>135</v>
      </c>
      <c r="F200" s="128">
        <v>5</v>
      </c>
      <c r="G200" s="117">
        <v>3580.26</v>
      </c>
      <c r="H200" s="118">
        <v>169</v>
      </c>
      <c r="I200" s="35">
        <f>SUMIF('2020'!B:B,B200,'2020'!C:C)+SUMIF('2021'!B:B,B200,'2021'!C:C)+SUMIF('2022'!B:B,B200,'2022'!C:C)</f>
        <v>1089272.1599999999</v>
      </c>
      <c r="J200" s="36">
        <v>44925</v>
      </c>
      <c r="K200" s="129" t="s">
        <v>106</v>
      </c>
    </row>
    <row r="201" spans="1:11" x14ac:dyDescent="0.3">
      <c r="A201" s="25">
        <f t="shared" si="10"/>
        <v>109</v>
      </c>
      <c r="B201" s="130" t="s">
        <v>267</v>
      </c>
      <c r="C201" s="131">
        <v>1981</v>
      </c>
      <c r="D201" s="126"/>
      <c r="E201" s="127" t="s">
        <v>108</v>
      </c>
      <c r="F201" s="128">
        <v>5</v>
      </c>
      <c r="G201" s="117">
        <v>4525.7</v>
      </c>
      <c r="H201" s="118">
        <v>239</v>
      </c>
      <c r="I201" s="35">
        <f>SUMIF('2020'!B:B,B201,'2020'!C:C)+SUMIF('2021'!B:B,B201,'2021'!C:C)+SUMIF('2022'!B:B,B201,'2022'!C:C)</f>
        <v>450987.97</v>
      </c>
      <c r="J201" s="36">
        <v>44925</v>
      </c>
      <c r="K201" s="129" t="s">
        <v>106</v>
      </c>
    </row>
    <row r="202" spans="1:11" x14ac:dyDescent="0.3">
      <c r="A202" s="25">
        <f t="shared" si="10"/>
        <v>110</v>
      </c>
      <c r="B202" s="130" t="s">
        <v>268</v>
      </c>
      <c r="C202" s="131">
        <v>1989</v>
      </c>
      <c r="D202" s="126"/>
      <c r="E202" s="127" t="s">
        <v>108</v>
      </c>
      <c r="F202" s="128">
        <v>5</v>
      </c>
      <c r="G202" s="117">
        <v>5628.5</v>
      </c>
      <c r="H202" s="118">
        <v>241</v>
      </c>
      <c r="I202" s="35">
        <f>SUMIF('2020'!B:B,B202,'2020'!C:C)+SUMIF('2021'!B:B,B202,'2021'!C:C)+SUMIF('2022'!B:B,B202,'2022'!C:C)</f>
        <v>284821.93</v>
      </c>
      <c r="J202" s="36">
        <v>44925</v>
      </c>
      <c r="K202" s="129" t="s">
        <v>106</v>
      </c>
    </row>
    <row r="203" spans="1:11" x14ac:dyDescent="0.3">
      <c r="A203" s="25">
        <f t="shared" si="10"/>
        <v>111</v>
      </c>
      <c r="B203" s="130" t="s">
        <v>269</v>
      </c>
      <c r="C203" s="131">
        <v>1974</v>
      </c>
      <c r="D203" s="126"/>
      <c r="E203" s="127" t="s">
        <v>135</v>
      </c>
      <c r="F203" s="128">
        <v>5</v>
      </c>
      <c r="G203" s="117">
        <v>2673.19</v>
      </c>
      <c r="H203" s="118">
        <v>139</v>
      </c>
      <c r="I203" s="35">
        <f>SUMIF('2020'!B:B,B203,'2020'!C:C)+SUMIF('2021'!B:B,B203,'2021'!C:C)+SUMIF('2022'!B:B,B203,'2022'!C:C)</f>
        <v>671687.24</v>
      </c>
      <c r="J203" s="36">
        <v>44925</v>
      </c>
      <c r="K203" s="129" t="s">
        <v>106</v>
      </c>
    </row>
    <row r="204" spans="1:11" x14ac:dyDescent="0.3">
      <c r="A204" s="25">
        <f t="shared" si="10"/>
        <v>112</v>
      </c>
      <c r="B204" s="130" t="s">
        <v>270</v>
      </c>
      <c r="C204" s="131">
        <v>1988</v>
      </c>
      <c r="D204" s="126"/>
      <c r="E204" s="127" t="s">
        <v>108</v>
      </c>
      <c r="F204" s="128">
        <v>5</v>
      </c>
      <c r="G204" s="117">
        <v>3221.6</v>
      </c>
      <c r="H204" s="118">
        <v>135</v>
      </c>
      <c r="I204" s="35">
        <f>SUMIF('2020'!B:B,B204,'2020'!C:C)+SUMIF('2021'!B:B,B204,'2021'!C:C)+SUMIF('2022'!B:B,B204,'2022'!C:C)</f>
        <v>775713.44</v>
      </c>
      <c r="J204" s="36">
        <v>44925</v>
      </c>
      <c r="K204" s="129" t="s">
        <v>106</v>
      </c>
    </row>
    <row r="205" spans="1:11" x14ac:dyDescent="0.3">
      <c r="A205" s="25">
        <f t="shared" si="10"/>
        <v>113</v>
      </c>
      <c r="B205" s="130" t="s">
        <v>271</v>
      </c>
      <c r="C205" s="131">
        <v>1984</v>
      </c>
      <c r="D205" s="126">
        <v>2019</v>
      </c>
      <c r="E205" s="127" t="s">
        <v>108</v>
      </c>
      <c r="F205" s="128">
        <v>5</v>
      </c>
      <c r="G205" s="117">
        <v>10334.030000000001</v>
      </c>
      <c r="H205" s="118">
        <v>491</v>
      </c>
      <c r="I205" s="35">
        <f>SUMIF('2020'!B:B,B205,'2020'!C:C)+SUMIF('2021'!B:B,B205,'2021'!C:C)+SUMIF('2022'!B:B,B205,'2022'!C:C)</f>
        <v>2293426.16</v>
      </c>
      <c r="J205" s="36">
        <v>44925</v>
      </c>
      <c r="K205" s="129" t="s">
        <v>106</v>
      </c>
    </row>
    <row r="206" spans="1:11" x14ac:dyDescent="0.3">
      <c r="A206" s="25">
        <f t="shared" si="10"/>
        <v>114</v>
      </c>
      <c r="B206" s="130" t="s">
        <v>272</v>
      </c>
      <c r="C206" s="131">
        <v>1995</v>
      </c>
      <c r="D206" s="126"/>
      <c r="E206" s="127" t="s">
        <v>135</v>
      </c>
      <c r="F206" s="128">
        <v>5</v>
      </c>
      <c r="G206" s="117">
        <v>4944.47</v>
      </c>
      <c r="H206" s="118">
        <v>211</v>
      </c>
      <c r="I206" s="35">
        <f>SUMIF('2020'!B:B,B206,'2020'!C:C)+SUMIF('2021'!B:B,B206,'2021'!C:C)+SUMIF('2022'!B:B,B206,'2022'!C:C)</f>
        <v>236053.04</v>
      </c>
      <c r="J206" s="36">
        <v>44925</v>
      </c>
      <c r="K206" s="129" t="s">
        <v>106</v>
      </c>
    </row>
    <row r="207" spans="1:11" x14ac:dyDescent="0.3">
      <c r="A207" s="25">
        <f t="shared" si="10"/>
        <v>115</v>
      </c>
      <c r="B207" s="130" t="s">
        <v>273</v>
      </c>
      <c r="C207" s="131">
        <v>1989</v>
      </c>
      <c r="D207" s="126"/>
      <c r="E207" s="127" t="s">
        <v>135</v>
      </c>
      <c r="F207" s="128">
        <v>5</v>
      </c>
      <c r="G207" s="117">
        <v>4828.3999999999996</v>
      </c>
      <c r="H207" s="118">
        <v>248</v>
      </c>
      <c r="I207" s="35">
        <f>SUMIF('2020'!B:B,B207,'2020'!C:C)+SUMIF('2021'!B:B,B207,'2021'!C:C)+SUMIF('2022'!B:B,B207,'2022'!C:C)</f>
        <v>788999.53</v>
      </c>
      <c r="J207" s="36">
        <v>44925</v>
      </c>
      <c r="K207" s="129" t="s">
        <v>106</v>
      </c>
    </row>
    <row r="208" spans="1:11" x14ac:dyDescent="0.3">
      <c r="A208" s="25">
        <f t="shared" si="10"/>
        <v>116</v>
      </c>
      <c r="B208" s="130" t="s">
        <v>274</v>
      </c>
      <c r="C208" s="131">
        <v>1986</v>
      </c>
      <c r="D208" s="126"/>
      <c r="E208" s="127" t="s">
        <v>135</v>
      </c>
      <c r="F208" s="128">
        <v>5</v>
      </c>
      <c r="G208" s="117">
        <v>4017.9</v>
      </c>
      <c r="H208" s="118">
        <v>211</v>
      </c>
      <c r="I208" s="35">
        <f>SUMIF('2020'!B:B,B208,'2020'!C:C)+SUMIF('2021'!B:B,B208,'2021'!C:C)+SUMIF('2022'!B:B,B208,'2022'!C:C)</f>
        <v>726414.17</v>
      </c>
      <c r="J208" s="36">
        <v>44925</v>
      </c>
      <c r="K208" s="129" t="s">
        <v>106</v>
      </c>
    </row>
    <row r="209" spans="1:13" x14ac:dyDescent="0.3">
      <c r="A209" s="25">
        <f t="shared" si="10"/>
        <v>117</v>
      </c>
      <c r="B209" s="130" t="s">
        <v>275</v>
      </c>
      <c r="C209" s="131">
        <v>1968</v>
      </c>
      <c r="D209" s="126"/>
      <c r="E209" s="127" t="s">
        <v>132</v>
      </c>
      <c r="F209" s="128">
        <v>5</v>
      </c>
      <c r="G209" s="117">
        <v>3351.82</v>
      </c>
      <c r="H209" s="118">
        <v>175</v>
      </c>
      <c r="I209" s="35">
        <f>SUMIF('2020'!B:B,B209,'2020'!C:C)+SUMIF('2021'!B:B,B209,'2021'!C:C)+SUMIF('2022'!B:B,B209,'2022'!C:C)</f>
        <v>705762</v>
      </c>
      <c r="J209" s="36">
        <v>44925</v>
      </c>
      <c r="K209" s="129" t="s">
        <v>106</v>
      </c>
    </row>
    <row r="210" spans="1:13" x14ac:dyDescent="0.3">
      <c r="A210" s="25">
        <f t="shared" si="10"/>
        <v>118</v>
      </c>
      <c r="B210" s="130" t="s">
        <v>276</v>
      </c>
      <c r="C210" s="131">
        <v>1990</v>
      </c>
      <c r="D210" s="126"/>
      <c r="E210" s="127" t="s">
        <v>135</v>
      </c>
      <c r="F210" s="128">
        <v>5</v>
      </c>
      <c r="G210" s="117">
        <v>3636.1</v>
      </c>
      <c r="H210" s="132">
        <v>178</v>
      </c>
      <c r="I210" s="35">
        <f>SUMIF('2020'!B:B,B210,'2020'!C:C)+SUMIF('2021'!B:B,B210,'2021'!C:C)+SUMIF('2022'!B:B,B210,'2022'!C:C)</f>
        <v>351550.49</v>
      </c>
      <c r="J210" s="36">
        <v>44925</v>
      </c>
      <c r="K210" s="129" t="s">
        <v>106</v>
      </c>
    </row>
    <row r="211" spans="1:13" x14ac:dyDescent="0.3">
      <c r="A211" s="25">
        <f t="shared" si="10"/>
        <v>119</v>
      </c>
      <c r="B211" s="130" t="s">
        <v>277</v>
      </c>
      <c r="C211" s="131">
        <v>1987</v>
      </c>
      <c r="D211" s="126"/>
      <c r="E211" s="127" t="s">
        <v>135</v>
      </c>
      <c r="F211" s="128">
        <v>5</v>
      </c>
      <c r="G211" s="117">
        <v>3585</v>
      </c>
      <c r="H211" s="132">
        <v>185</v>
      </c>
      <c r="I211" s="35">
        <f>SUMIF('2020'!B:B,B211,'2020'!C:C)+SUMIF('2021'!B:B,B211,'2021'!C:C)+SUMIF('2022'!B:B,B211,'2022'!C:C)</f>
        <v>944968.8</v>
      </c>
      <c r="J211" s="36">
        <v>44925</v>
      </c>
      <c r="K211" s="129" t="s">
        <v>106</v>
      </c>
    </row>
    <row r="212" spans="1:13" x14ac:dyDescent="0.3">
      <c r="A212" s="25">
        <f t="shared" si="10"/>
        <v>120</v>
      </c>
      <c r="B212" s="130" t="s">
        <v>278</v>
      </c>
      <c r="C212" s="131">
        <v>1983</v>
      </c>
      <c r="D212" s="133"/>
      <c r="E212" s="127" t="s">
        <v>135</v>
      </c>
      <c r="F212" s="128">
        <v>5</v>
      </c>
      <c r="G212" s="117">
        <v>3302.91</v>
      </c>
      <c r="H212" s="132">
        <v>183</v>
      </c>
      <c r="I212" s="35">
        <f>SUMIF('2020'!B:B,B212,'2020'!C:C)+SUMIF('2021'!B:B,B212,'2021'!C:C)+SUMIF('2022'!B:B,B212,'2022'!C:C)</f>
        <v>1030858.62</v>
      </c>
      <c r="J212" s="36">
        <v>44925</v>
      </c>
      <c r="K212" s="129" t="s">
        <v>106</v>
      </c>
    </row>
    <row r="213" spans="1:13" x14ac:dyDescent="0.3">
      <c r="A213" s="350" t="s">
        <v>35</v>
      </c>
      <c r="B213" s="350"/>
      <c r="C213" s="35" t="s">
        <v>143</v>
      </c>
      <c r="D213" s="35" t="s">
        <v>143</v>
      </c>
      <c r="E213" s="35" t="s">
        <v>143</v>
      </c>
      <c r="F213" s="35" t="s">
        <v>143</v>
      </c>
      <c r="G213" s="35">
        <f>SUM(G172:G212)</f>
        <v>209955.74</v>
      </c>
      <c r="H213" s="26">
        <f>SUM(H172:H212)</f>
        <v>9877</v>
      </c>
      <c r="I213" s="35">
        <f>SUM(I173:I212)</f>
        <v>43520040.07</v>
      </c>
      <c r="J213" s="35" t="s">
        <v>143</v>
      </c>
      <c r="K213" s="35" t="s">
        <v>143</v>
      </c>
      <c r="L213" s="111" t="e">
        <f>#REF!-'2020'!C72</f>
        <v>#REF!</v>
      </c>
      <c r="M213" s="111"/>
    </row>
    <row r="214" spans="1:13" x14ac:dyDescent="0.3">
      <c r="A214" s="351" t="s">
        <v>288</v>
      </c>
      <c r="B214" s="352"/>
      <c r="C214" s="98" t="s">
        <v>143</v>
      </c>
      <c r="D214" s="98" t="s">
        <v>143</v>
      </c>
      <c r="E214" s="98" t="s">
        <v>143</v>
      </c>
      <c r="F214" s="98" t="s">
        <v>143</v>
      </c>
      <c r="G214" s="98">
        <f>G213+G171</f>
        <v>216572.34</v>
      </c>
      <c r="H214" s="99">
        <f>H213+H171</f>
        <v>10185</v>
      </c>
      <c r="I214" s="98">
        <f>I213+I171</f>
        <v>44254669.460000001</v>
      </c>
      <c r="J214" s="98" t="s">
        <v>143</v>
      </c>
      <c r="K214" s="98" t="s">
        <v>143</v>
      </c>
      <c r="L214" s="111"/>
      <c r="M214" s="111"/>
    </row>
    <row r="215" spans="1:13" x14ac:dyDescent="0.3">
      <c r="A215" s="134"/>
      <c r="B215" s="135" t="s">
        <v>87</v>
      </c>
      <c r="C215" s="98" t="s">
        <v>143</v>
      </c>
      <c r="D215" s="98" t="s">
        <v>143</v>
      </c>
      <c r="E215" s="98" t="s">
        <v>143</v>
      </c>
      <c r="F215" s="98" t="s">
        <v>143</v>
      </c>
      <c r="G215" s="98">
        <f>G214+G166+G162+G107+G93+G76+G56+G26+G153+G150+G81+G127+G34</f>
        <v>510365.76999999984</v>
      </c>
      <c r="H215" s="99">
        <f>H214+H166+H162+H107+H93+H76+H56+H26+H153+H150+H81+H127+H34</f>
        <v>20211</v>
      </c>
      <c r="I215" s="98">
        <f>I214+I166+I162+I107+I93+I76+I56+I26+I153+I150+I81+I127+I34</f>
        <v>150309077.55999997</v>
      </c>
      <c r="J215" s="98" t="s">
        <v>143</v>
      </c>
      <c r="K215" s="98" t="s">
        <v>143</v>
      </c>
      <c r="L215" s="111">
        <f>I215-'2020'!C74-'2021'!C130-'2022'!C56</f>
        <v>-3.3527612686157227E-8</v>
      </c>
    </row>
    <row r="216" spans="1:13" x14ac:dyDescent="0.3">
      <c r="A216" s="134"/>
      <c r="B216" s="136" t="s">
        <v>138</v>
      </c>
      <c r="C216" s="98" t="s">
        <v>143</v>
      </c>
      <c r="D216" s="98" t="s">
        <v>143</v>
      </c>
      <c r="E216" s="98" t="s">
        <v>143</v>
      </c>
      <c r="F216" s="98" t="s">
        <v>143</v>
      </c>
      <c r="G216" s="47"/>
      <c r="H216" s="48"/>
      <c r="I216" s="47">
        <f>'2020'!C75+'2021'!C131+'2022'!C57</f>
        <v>2134240.335306</v>
      </c>
      <c r="J216" s="98" t="s">
        <v>143</v>
      </c>
      <c r="K216" s="98" t="s">
        <v>143</v>
      </c>
    </row>
    <row r="217" spans="1:13" ht="31.2" x14ac:dyDescent="0.3">
      <c r="A217" s="134"/>
      <c r="B217" s="137" t="s">
        <v>139</v>
      </c>
      <c r="C217" s="98" t="s">
        <v>143</v>
      </c>
      <c r="D217" s="98" t="s">
        <v>143</v>
      </c>
      <c r="E217" s="98" t="s">
        <v>143</v>
      </c>
      <c r="F217" s="98" t="s">
        <v>143</v>
      </c>
      <c r="G217" s="47"/>
      <c r="H217" s="48"/>
      <c r="I217" s="47">
        <f>I215+I216</f>
        <v>152443317.89530596</v>
      </c>
      <c r="J217" s="98" t="s">
        <v>143</v>
      </c>
      <c r="K217" s="98" t="s">
        <v>143</v>
      </c>
      <c r="L217" s="111">
        <f>I217-'2020'!C76-'2021'!C132-'2022'!C58</f>
        <v>-4.8428773880004883E-8</v>
      </c>
    </row>
    <row r="219" spans="1:13" ht="15.75" hidden="1" x14ac:dyDescent="0.25"/>
    <row r="220" spans="1:13" ht="15.75" hidden="1" x14ac:dyDescent="0.25">
      <c r="A220" s="138">
        <f>'2020'!A71</f>
        <v>44</v>
      </c>
      <c r="I220" s="141">
        <f>'2020'!C76</f>
        <v>56085695.949378006</v>
      </c>
    </row>
    <row r="221" spans="1:13" ht="15.75" hidden="1" x14ac:dyDescent="0.25">
      <c r="A221" s="138">
        <f>'2021'!A121</f>
        <v>56</v>
      </c>
      <c r="I221" s="141">
        <f>'2021'!C132</f>
        <v>74407074.205927998</v>
      </c>
    </row>
    <row r="222" spans="1:13" ht="15.75" hidden="1" x14ac:dyDescent="0.25">
      <c r="A222" s="138">
        <f>'2022'!A48</f>
        <v>21</v>
      </c>
      <c r="I222" s="141">
        <f>'2022'!C58</f>
        <v>21950547.739999998</v>
      </c>
    </row>
    <row r="223" spans="1:13" ht="15.75" hidden="1" x14ac:dyDescent="0.25">
      <c r="A223" s="143">
        <f>SUM(A220:A222)</f>
        <v>121</v>
      </c>
      <c r="I223" s="144">
        <f>SUM(I220:I222)</f>
        <v>152443317.89530602</v>
      </c>
    </row>
    <row r="224" spans="1:13" ht="15.75" hidden="1" x14ac:dyDescent="0.25"/>
    <row r="225" spans="9:9" ht="15.75" hidden="1" x14ac:dyDescent="0.25">
      <c r="I225" s="141">
        <f>I223-I217</f>
        <v>0</v>
      </c>
    </row>
    <row r="226" spans="9:9" ht="15.75" hidden="1" x14ac:dyDescent="0.25"/>
    <row r="227" spans="9:9" ht="15.75" hidden="1" x14ac:dyDescent="0.25"/>
    <row r="228" spans="9:9" ht="15.75" hidden="1" x14ac:dyDescent="0.25"/>
  </sheetData>
  <protectedRanges>
    <protectedRange password="CC6F" sqref="H66 H71:H74" name="Диапазон2_9_1"/>
    <protectedRange password="CC6F" sqref="H59" name="Диапазон2_9_10_1"/>
    <protectedRange password="CC6F" sqref="H60" name="Диапазон2_9_11_1"/>
    <protectedRange password="CC6F" sqref="H63" name="Диапазон2_9_38_1"/>
    <protectedRange password="CC6F" sqref="H64" name="Диапазон2_9_95_1"/>
    <protectedRange password="CC6F" sqref="H61" name="Диапазон2_9_29_1"/>
    <protectedRange password="CC6F" sqref="H62" name="Диапазон2_9_37_1"/>
    <protectedRange password="CC6F" sqref="H65" name="Диапазон2_9_1_1"/>
    <protectedRange password="CC6F" sqref="H67" name="Диапазон2_9_1_2"/>
    <protectedRange password="CC6F" sqref="H68" name="Диапазон2_9_1_3"/>
    <protectedRange password="CC6F" sqref="H70" name="Диапазон2_9_1_4"/>
    <protectedRange password="CC6F" sqref="H69" name="Диапазон2_9_1_5"/>
  </protectedRanges>
  <autoFilter ref="A15:XDY217"/>
  <mergeCells count="68">
    <mergeCell ref="A141:B141"/>
    <mergeCell ref="A147:B147"/>
    <mergeCell ref="A126:B126"/>
    <mergeCell ref="A146:B146"/>
    <mergeCell ref="A162:B162"/>
    <mergeCell ref="A154:K154"/>
    <mergeCell ref="A142:B142"/>
    <mergeCell ref="A139:B139"/>
    <mergeCell ref="A132:B132"/>
    <mergeCell ref="A133:B133"/>
    <mergeCell ref="A135:B135"/>
    <mergeCell ref="A136:B136"/>
    <mergeCell ref="A138:B138"/>
    <mergeCell ref="A129:B129"/>
    <mergeCell ref="A127:B127"/>
    <mergeCell ref="A118:B118"/>
    <mergeCell ref="E11:E14"/>
    <mergeCell ref="A57:K57"/>
    <mergeCell ref="J11:J14"/>
    <mergeCell ref="K11:K14"/>
    <mergeCell ref="C12:C14"/>
    <mergeCell ref="D12:D14"/>
    <mergeCell ref="A35:K35"/>
    <mergeCell ref="A16:K16"/>
    <mergeCell ref="B108:I108"/>
    <mergeCell ref="A109:B109"/>
    <mergeCell ref="A111:B111"/>
    <mergeCell ref="A112:B112"/>
    <mergeCell ref="A117:B117"/>
    <mergeCell ref="A48:B48"/>
    <mergeCell ref="A9:K9"/>
    <mergeCell ref="A10:K10"/>
    <mergeCell ref="A58:B58"/>
    <mergeCell ref="A82:K82"/>
    <mergeCell ref="A83:B83"/>
    <mergeCell ref="F11:F14"/>
    <mergeCell ref="G11:G13"/>
    <mergeCell ref="H11:H13"/>
    <mergeCell ref="A76:B76"/>
    <mergeCell ref="A77:J77"/>
    <mergeCell ref="A78:B78"/>
    <mergeCell ref="I11:I13"/>
    <mergeCell ref="A81:B81"/>
    <mergeCell ref="A11:A13"/>
    <mergeCell ref="B11:B13"/>
    <mergeCell ref="C11:D11"/>
    <mergeCell ref="A164:B164"/>
    <mergeCell ref="A27:K27"/>
    <mergeCell ref="A151:J151"/>
    <mergeCell ref="A153:B153"/>
    <mergeCell ref="A149:B149"/>
    <mergeCell ref="A163:K163"/>
    <mergeCell ref="A98:B98"/>
    <mergeCell ref="A94:K94"/>
    <mergeCell ref="A93:B93"/>
    <mergeCell ref="A103:B103"/>
    <mergeCell ref="A155:B155"/>
    <mergeCell ref="A161:B161"/>
    <mergeCell ref="A107:B107"/>
    <mergeCell ref="A104:B104"/>
    <mergeCell ref="A106:B106"/>
    <mergeCell ref="A128:J128"/>
    <mergeCell ref="A171:B171"/>
    <mergeCell ref="A214:B214"/>
    <mergeCell ref="A213:B213"/>
    <mergeCell ref="A167:J167"/>
    <mergeCell ref="A166:B166"/>
    <mergeCell ref="A172:B172"/>
  </mergeCells>
  <conditionalFormatting sqref="B59:B60 B63:B64 B66 B71:B75">
    <cfRule type="duplicateValues" dxfId="19" priority="1665"/>
  </conditionalFormatting>
  <conditionalFormatting sqref="A76">
    <cfRule type="duplicateValues" dxfId="18" priority="1666"/>
  </conditionalFormatting>
  <conditionalFormatting sqref="B165">
    <cfRule type="duplicateValues" dxfId="17" priority="1667"/>
  </conditionalFormatting>
  <conditionalFormatting sqref="B61">
    <cfRule type="duplicateValues" dxfId="16" priority="12"/>
  </conditionalFormatting>
  <conditionalFormatting sqref="B62">
    <cfRule type="duplicateValues" dxfId="15" priority="11"/>
  </conditionalFormatting>
  <conditionalFormatting sqref="B65">
    <cfRule type="duplicateValues" dxfId="14" priority="10"/>
  </conditionalFormatting>
  <conditionalFormatting sqref="B67">
    <cfRule type="duplicateValues" dxfId="13" priority="9"/>
  </conditionalFormatting>
  <conditionalFormatting sqref="B68">
    <cfRule type="duplicateValues" dxfId="12" priority="8"/>
  </conditionalFormatting>
  <conditionalFormatting sqref="B70">
    <cfRule type="duplicateValues" dxfId="11" priority="7"/>
  </conditionalFormatting>
  <conditionalFormatting sqref="B80">
    <cfRule type="duplicateValues" dxfId="10" priority="5"/>
  </conditionalFormatting>
  <conditionalFormatting sqref="B79">
    <cfRule type="duplicateValues" dxfId="9" priority="1668"/>
  </conditionalFormatting>
  <conditionalFormatting sqref="B69">
    <cfRule type="duplicateValues" dxfId="8" priority="2"/>
  </conditionalFormatting>
  <conditionalFormatting sqref="A81">
    <cfRule type="duplicateValues" dxfId="7" priority="1"/>
  </conditionalFormatting>
  <conditionalFormatting sqref="B173:B174">
    <cfRule type="duplicateValues" dxfId="6" priority="1669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view="pageBreakPreview" zoomScale="60" zoomScaleNormal="70" workbookViewId="0">
      <pane xSplit="3" ySplit="9" topLeftCell="H10" activePane="bottomRight" state="frozen"/>
      <selection pane="topRight" activeCell="D1" sqref="D1"/>
      <selection pane="bottomLeft" activeCell="A11" sqref="A11"/>
      <selection pane="bottomRight" activeCell="B35" sqref="B35"/>
    </sheetView>
  </sheetViews>
  <sheetFormatPr defaultColWidth="9.109375" defaultRowHeight="15.6" x14ac:dyDescent="0.3"/>
  <cols>
    <col min="1" max="1" width="8.33203125" style="8" customWidth="1"/>
    <col min="2" max="2" width="54.33203125" style="10" customWidth="1"/>
    <col min="3" max="3" width="19.88671875" style="3" customWidth="1"/>
    <col min="4" max="4" width="18" style="3" customWidth="1"/>
    <col min="5" max="5" width="18.44140625" style="3" customWidth="1"/>
    <col min="6" max="6" width="19.109375" style="3" bestFit="1" customWidth="1"/>
    <col min="7" max="7" width="16.88671875" style="3" customWidth="1"/>
    <col min="8" max="8" width="16.5546875" style="3" customWidth="1"/>
    <col min="9" max="9" width="18.6640625" style="3" customWidth="1"/>
    <col min="10" max="10" width="12.5546875" style="2" customWidth="1"/>
    <col min="11" max="11" width="15.6640625" style="3" customWidth="1"/>
    <col min="12" max="12" width="13.6640625" style="3" customWidth="1"/>
    <col min="13" max="13" width="13" style="3" bestFit="1" customWidth="1"/>
    <col min="14" max="14" width="18.88671875" style="3" customWidth="1"/>
    <col min="15" max="15" width="13" style="3" bestFit="1" customWidth="1"/>
    <col min="16" max="16" width="18" style="3" customWidth="1"/>
    <col min="17" max="17" width="11.88671875" style="3" customWidth="1"/>
    <col min="18" max="18" width="16.88671875" style="3" customWidth="1"/>
    <col min="19" max="19" width="15.88671875" style="3" customWidth="1"/>
    <col min="20" max="20" width="10.6640625" style="3" customWidth="1"/>
    <col min="21" max="21" width="14.6640625" style="3" customWidth="1"/>
    <col min="22" max="22" width="16" style="3" customWidth="1"/>
    <col min="23" max="23" width="15.5546875" style="3" customWidth="1"/>
    <col min="24" max="25" width="18.5546875" style="3" hidden="1" customWidth="1"/>
    <col min="26" max="26" width="12.44140625" style="9" hidden="1" customWidth="1"/>
    <col min="27" max="27" width="13.44140625" style="9" hidden="1" customWidth="1"/>
    <col min="28" max="28" width="12.6640625" style="9" hidden="1" customWidth="1"/>
    <col min="29" max="29" width="14.44140625" style="9" hidden="1" customWidth="1"/>
    <col min="30" max="32" width="12.44140625" style="9" hidden="1" customWidth="1"/>
    <col min="33" max="33" width="13.109375" style="9" hidden="1" customWidth="1"/>
    <col min="34" max="37" width="12.44140625" style="9" hidden="1" customWidth="1"/>
    <col min="38" max="38" width="10.6640625" style="9" hidden="1" customWidth="1"/>
    <col min="39" max="41" width="9.109375" style="9" hidden="1" customWidth="1"/>
    <col min="42" max="42" width="9.33203125" style="9" customWidth="1"/>
    <col min="43" max="16384" width="9.109375" style="9"/>
  </cols>
  <sheetData>
    <row r="1" spans="1:36" s="147" customFormat="1" x14ac:dyDescent="0.3">
      <c r="A1" s="399" t="s">
        <v>308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145"/>
      <c r="Y1" s="145"/>
      <c r="Z1" s="145"/>
      <c r="AA1" s="145"/>
      <c r="AB1" s="145"/>
      <c r="AC1" s="145"/>
      <c r="AD1" s="146"/>
      <c r="AE1" s="146"/>
      <c r="AF1" s="146"/>
      <c r="AG1" s="146"/>
      <c r="AH1" s="146"/>
      <c r="AI1" s="146"/>
    </row>
    <row r="2" spans="1:36" s="147" customFormat="1" ht="0.75" customHeight="1" x14ac:dyDescent="0.3">
      <c r="A2" s="11"/>
      <c r="B2" s="14"/>
      <c r="C2" s="19"/>
      <c r="D2" s="148"/>
      <c r="E2" s="19"/>
      <c r="F2" s="19"/>
      <c r="G2" s="19"/>
      <c r="H2" s="19"/>
      <c r="I2" s="19"/>
      <c r="J2" s="17"/>
      <c r="K2" s="148"/>
      <c r="L2" s="148"/>
      <c r="M2" s="148"/>
      <c r="N2" s="19"/>
      <c r="O2" s="148"/>
      <c r="P2" s="19"/>
      <c r="Q2" s="148"/>
      <c r="R2" s="19"/>
      <c r="S2" s="19"/>
      <c r="T2" s="148"/>
      <c r="U2" s="19"/>
      <c r="V2" s="148"/>
      <c r="W2" s="19"/>
      <c r="X2" s="19"/>
      <c r="Y2" s="19"/>
      <c r="Z2" s="19"/>
      <c r="AA2" s="19"/>
      <c r="AB2" s="149"/>
      <c r="AC2" s="146"/>
      <c r="AD2" s="146"/>
      <c r="AE2" s="146"/>
      <c r="AF2" s="383" t="s">
        <v>0</v>
      </c>
      <c r="AG2" s="383"/>
      <c r="AH2" s="383"/>
      <c r="AI2" s="146"/>
    </row>
    <row r="3" spans="1:36" s="147" customFormat="1" ht="11.25" customHeight="1" x14ac:dyDescent="0.3">
      <c r="A3" s="406" t="s">
        <v>1</v>
      </c>
      <c r="B3" s="403" t="s">
        <v>2</v>
      </c>
      <c r="C3" s="384" t="s">
        <v>3</v>
      </c>
      <c r="D3" s="401" t="s">
        <v>4</v>
      </c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151"/>
      <c r="Y3" s="151"/>
      <c r="Z3" s="152"/>
      <c r="AA3" s="153"/>
      <c r="AB3" s="149"/>
      <c r="AC3" s="146"/>
      <c r="AD3" s="146"/>
      <c r="AE3" s="146"/>
      <c r="AF3" s="146"/>
      <c r="AG3" s="146"/>
      <c r="AH3" s="146"/>
      <c r="AI3" s="146"/>
    </row>
    <row r="4" spans="1:36" s="147" customFormat="1" ht="46.5" customHeight="1" x14ac:dyDescent="0.3">
      <c r="A4" s="407"/>
      <c r="B4" s="404"/>
      <c r="C4" s="385"/>
      <c r="D4" s="386" t="s">
        <v>5</v>
      </c>
      <c r="E4" s="387"/>
      <c r="F4" s="387"/>
      <c r="G4" s="387"/>
      <c r="H4" s="387"/>
      <c r="I4" s="388"/>
      <c r="J4" s="386" t="s">
        <v>6</v>
      </c>
      <c r="K4" s="387"/>
      <c r="L4" s="388"/>
      <c r="M4" s="389" t="s">
        <v>7</v>
      </c>
      <c r="N4" s="390"/>
      <c r="O4" s="389" t="s">
        <v>8</v>
      </c>
      <c r="P4" s="390"/>
      <c r="Q4" s="389" t="s">
        <v>9</v>
      </c>
      <c r="R4" s="390"/>
      <c r="S4" s="412" t="s">
        <v>24</v>
      </c>
      <c r="T4" s="389" t="s">
        <v>10</v>
      </c>
      <c r="U4" s="390"/>
      <c r="V4" s="395" t="s">
        <v>11</v>
      </c>
      <c r="W4" s="384" t="s">
        <v>12</v>
      </c>
      <c r="X4" s="154"/>
      <c r="Y4" s="154"/>
      <c r="Z4" s="155"/>
      <c r="AA4" s="155"/>
      <c r="AB4" s="155"/>
      <c r="AC4" s="155"/>
      <c r="AD4" s="155"/>
      <c r="AE4" s="155"/>
      <c r="AF4" s="398" t="s">
        <v>13</v>
      </c>
      <c r="AG4" s="398" t="s">
        <v>14</v>
      </c>
      <c r="AH4" s="398" t="s">
        <v>15</v>
      </c>
      <c r="AI4" s="146"/>
    </row>
    <row r="5" spans="1:36" s="147" customFormat="1" ht="45" customHeight="1" x14ac:dyDescent="0.3">
      <c r="A5" s="407"/>
      <c r="B5" s="404"/>
      <c r="C5" s="385"/>
      <c r="D5" s="395" t="s">
        <v>16</v>
      </c>
      <c r="E5" s="384" t="s">
        <v>17</v>
      </c>
      <c r="F5" s="384" t="s">
        <v>18</v>
      </c>
      <c r="G5" s="384" t="s">
        <v>19</v>
      </c>
      <c r="H5" s="384" t="s">
        <v>20</v>
      </c>
      <c r="I5" s="384" t="s">
        <v>21</v>
      </c>
      <c r="J5" s="409"/>
      <c r="K5" s="395" t="s">
        <v>22</v>
      </c>
      <c r="L5" s="395" t="s">
        <v>23</v>
      </c>
      <c r="M5" s="391"/>
      <c r="N5" s="392"/>
      <c r="O5" s="391"/>
      <c r="P5" s="392"/>
      <c r="Q5" s="391"/>
      <c r="R5" s="392"/>
      <c r="S5" s="385"/>
      <c r="T5" s="391"/>
      <c r="U5" s="392"/>
      <c r="V5" s="396"/>
      <c r="W5" s="385"/>
      <c r="X5" s="156"/>
      <c r="Y5" s="156"/>
      <c r="Z5" s="155"/>
      <c r="AA5" s="155"/>
      <c r="AB5" s="155"/>
      <c r="AC5" s="155"/>
      <c r="AD5" s="155"/>
      <c r="AE5" s="155"/>
      <c r="AF5" s="398"/>
      <c r="AG5" s="398"/>
      <c r="AH5" s="398"/>
      <c r="AI5" s="146"/>
    </row>
    <row r="6" spans="1:36" s="147" customFormat="1" x14ac:dyDescent="0.3">
      <c r="A6" s="407"/>
      <c r="B6" s="404"/>
      <c r="C6" s="385"/>
      <c r="D6" s="396"/>
      <c r="E6" s="385"/>
      <c r="F6" s="385"/>
      <c r="G6" s="385"/>
      <c r="H6" s="385"/>
      <c r="I6" s="385"/>
      <c r="J6" s="410"/>
      <c r="K6" s="396"/>
      <c r="L6" s="396"/>
      <c r="M6" s="391"/>
      <c r="N6" s="392"/>
      <c r="O6" s="391"/>
      <c r="P6" s="392"/>
      <c r="Q6" s="391"/>
      <c r="R6" s="392"/>
      <c r="S6" s="385"/>
      <c r="T6" s="391"/>
      <c r="U6" s="392"/>
      <c r="V6" s="396"/>
      <c r="W6" s="385"/>
      <c r="X6" s="156"/>
      <c r="Y6" s="156"/>
      <c r="Z6" s="155" t="s">
        <v>25</v>
      </c>
      <c r="AA6" s="155" t="s">
        <v>26</v>
      </c>
      <c r="AB6" s="155" t="s">
        <v>56</v>
      </c>
      <c r="AC6" s="155" t="s">
        <v>28</v>
      </c>
      <c r="AD6" s="155" t="s">
        <v>29</v>
      </c>
      <c r="AE6" s="155"/>
      <c r="AF6" s="398"/>
      <c r="AG6" s="398"/>
      <c r="AH6" s="398"/>
      <c r="AI6" s="146"/>
    </row>
    <row r="7" spans="1:36" s="147" customFormat="1" ht="15.75" customHeight="1" x14ac:dyDescent="0.3">
      <c r="A7" s="408"/>
      <c r="B7" s="405"/>
      <c r="C7" s="157"/>
      <c r="D7" s="397"/>
      <c r="E7" s="400"/>
      <c r="F7" s="400"/>
      <c r="G7" s="400"/>
      <c r="H7" s="400"/>
      <c r="I7" s="400"/>
      <c r="J7" s="411"/>
      <c r="K7" s="397"/>
      <c r="L7" s="397"/>
      <c r="M7" s="393"/>
      <c r="N7" s="394"/>
      <c r="O7" s="393"/>
      <c r="P7" s="394"/>
      <c r="Q7" s="393"/>
      <c r="R7" s="394"/>
      <c r="S7" s="400"/>
      <c r="T7" s="393"/>
      <c r="U7" s="394"/>
      <c r="V7" s="397"/>
      <c r="W7" s="400"/>
      <c r="X7" s="157"/>
      <c r="Y7" s="157"/>
      <c r="Z7" s="155"/>
      <c r="AA7" s="155"/>
      <c r="AB7" s="155"/>
      <c r="AC7" s="155"/>
      <c r="AD7" s="155"/>
      <c r="AE7" s="155"/>
      <c r="AF7" s="398"/>
      <c r="AG7" s="398"/>
      <c r="AH7" s="398"/>
      <c r="AI7" s="146"/>
    </row>
    <row r="8" spans="1:36" s="147" customFormat="1" x14ac:dyDescent="0.3">
      <c r="A8" s="158"/>
      <c r="B8" s="159"/>
      <c r="C8" s="155" t="s">
        <v>30</v>
      </c>
      <c r="D8" s="160" t="s">
        <v>30</v>
      </c>
      <c r="E8" s="155" t="s">
        <v>30</v>
      </c>
      <c r="F8" s="155" t="s">
        <v>30</v>
      </c>
      <c r="G8" s="155" t="s">
        <v>30</v>
      </c>
      <c r="H8" s="155" t="s">
        <v>30</v>
      </c>
      <c r="I8" s="155" t="s">
        <v>30</v>
      </c>
      <c r="J8" s="161" t="s">
        <v>31</v>
      </c>
      <c r="K8" s="160" t="s">
        <v>30</v>
      </c>
      <c r="L8" s="160" t="s">
        <v>30</v>
      </c>
      <c r="M8" s="160" t="s">
        <v>32</v>
      </c>
      <c r="N8" s="155" t="s">
        <v>30</v>
      </c>
      <c r="O8" s="160" t="s">
        <v>32</v>
      </c>
      <c r="P8" s="155" t="s">
        <v>30</v>
      </c>
      <c r="Q8" s="160" t="s">
        <v>32</v>
      </c>
      <c r="R8" s="155" t="s">
        <v>30</v>
      </c>
      <c r="S8" s="155" t="s">
        <v>30</v>
      </c>
      <c r="T8" s="160" t="s">
        <v>33</v>
      </c>
      <c r="U8" s="155" t="s">
        <v>30</v>
      </c>
      <c r="V8" s="160" t="s">
        <v>30</v>
      </c>
      <c r="W8" s="155" t="s">
        <v>30</v>
      </c>
      <c r="X8" s="155"/>
      <c r="Y8" s="155"/>
      <c r="Z8" s="155"/>
      <c r="AA8" s="155"/>
      <c r="AB8" s="155"/>
      <c r="AC8" s="155"/>
      <c r="AD8" s="155"/>
      <c r="AE8" s="155"/>
      <c r="AF8" s="398"/>
      <c r="AG8" s="398"/>
      <c r="AH8" s="398"/>
      <c r="AI8" s="12"/>
    </row>
    <row r="9" spans="1:36" s="147" customFormat="1" x14ac:dyDescent="0.3">
      <c r="A9" s="162">
        <v>1</v>
      </c>
      <c r="B9" s="161">
        <v>2</v>
      </c>
      <c r="C9" s="162">
        <v>3</v>
      </c>
      <c r="D9" s="162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  <c r="J9" s="162">
        <v>10</v>
      </c>
      <c r="K9" s="163">
        <v>11</v>
      </c>
      <c r="L9" s="163">
        <v>12</v>
      </c>
      <c r="M9" s="163">
        <v>13</v>
      </c>
      <c r="N9" s="163">
        <v>14</v>
      </c>
      <c r="O9" s="163">
        <v>15</v>
      </c>
      <c r="P9" s="163">
        <v>16</v>
      </c>
      <c r="Q9" s="163">
        <v>17</v>
      </c>
      <c r="R9" s="163">
        <v>18</v>
      </c>
      <c r="S9" s="163">
        <v>19</v>
      </c>
      <c r="T9" s="163">
        <v>20</v>
      </c>
      <c r="U9" s="163">
        <v>21</v>
      </c>
      <c r="V9" s="163">
        <v>22</v>
      </c>
      <c r="W9" s="161">
        <v>23</v>
      </c>
      <c r="X9" s="164"/>
      <c r="Y9" s="164"/>
      <c r="Z9" s="165"/>
      <c r="AA9" s="164"/>
      <c r="AB9" s="164"/>
      <c r="AC9" s="166"/>
      <c r="AD9" s="17"/>
      <c r="AE9" s="17"/>
      <c r="AF9" s="17"/>
      <c r="AG9" s="17"/>
      <c r="AH9" s="17"/>
      <c r="AI9" s="17"/>
    </row>
    <row r="10" spans="1:36" s="147" customFormat="1" x14ac:dyDescent="0.3">
      <c r="A10" s="413" t="s">
        <v>201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  <c r="X10" s="164"/>
      <c r="Y10" s="164"/>
      <c r="Z10" s="165"/>
      <c r="AA10" s="164"/>
      <c r="AB10" s="164"/>
      <c r="AC10" s="166"/>
      <c r="AD10" s="17"/>
      <c r="AE10" s="17"/>
      <c r="AF10" s="17"/>
      <c r="AG10" s="17"/>
      <c r="AH10" s="17"/>
      <c r="AI10" s="17"/>
    </row>
    <row r="11" spans="1:36" s="147" customFormat="1" x14ac:dyDescent="0.3">
      <c r="A11" s="51" t="s">
        <v>240</v>
      </c>
      <c r="B11" s="167"/>
      <c r="C11" s="168"/>
      <c r="D11" s="168"/>
      <c r="E11" s="169"/>
      <c r="F11" s="169"/>
      <c r="G11" s="169"/>
      <c r="H11" s="169"/>
      <c r="I11" s="169"/>
      <c r="J11" s="168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64"/>
      <c r="Y11" s="164"/>
      <c r="Z11" s="165"/>
      <c r="AA11" s="164"/>
      <c r="AB11" s="164"/>
      <c r="AC11" s="166"/>
      <c r="AD11" s="17"/>
      <c r="AE11" s="17"/>
      <c r="AF11" s="17"/>
      <c r="AG11" s="17"/>
      <c r="AH11" s="17"/>
      <c r="AI11" s="17"/>
    </row>
    <row r="12" spans="1:36" s="147" customFormat="1" x14ac:dyDescent="0.3">
      <c r="A12" s="171">
        <v>1</v>
      </c>
      <c r="B12" s="172" t="s">
        <v>317</v>
      </c>
      <c r="C12" s="59">
        <f>D12+K12+L12+N12+P12+R12+S12+U12+V12+W12</f>
        <v>7753272.9199999999</v>
      </c>
      <c r="D12" s="171"/>
      <c r="E12" s="56"/>
      <c r="F12" s="56"/>
      <c r="G12" s="56"/>
      <c r="H12" s="56"/>
      <c r="I12" s="56"/>
      <c r="J12" s="171">
        <v>2</v>
      </c>
      <c r="K12" s="59">
        <v>7346346</v>
      </c>
      <c r="L12" s="59">
        <v>146926.92000000001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73">
        <v>260000</v>
      </c>
      <c r="X12" s="164"/>
      <c r="Y12" s="164"/>
      <c r="Z12" s="165"/>
      <c r="AA12" s="164"/>
      <c r="AB12" s="164"/>
      <c r="AC12" s="166"/>
      <c r="AD12" s="17"/>
      <c r="AE12" s="17"/>
      <c r="AF12" s="17"/>
      <c r="AG12" s="17"/>
      <c r="AH12" s="17"/>
      <c r="AI12" s="17"/>
    </row>
    <row r="13" spans="1:36" s="147" customFormat="1" x14ac:dyDescent="0.3">
      <c r="A13" s="174" t="s">
        <v>35</v>
      </c>
      <c r="B13" s="175"/>
      <c r="C13" s="59">
        <f t="shared" ref="C13:W13" si="0">SUM(C12:C12)</f>
        <v>7753272.9199999999</v>
      </c>
      <c r="D13" s="59">
        <f t="shared" si="0"/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171">
        <f t="shared" si="0"/>
        <v>2</v>
      </c>
      <c r="K13" s="59">
        <f t="shared" si="0"/>
        <v>7346346</v>
      </c>
      <c r="L13" s="59">
        <f t="shared" si="0"/>
        <v>146926.92000000001</v>
      </c>
      <c r="M13" s="59">
        <f t="shared" si="0"/>
        <v>0</v>
      </c>
      <c r="N13" s="59">
        <f t="shared" si="0"/>
        <v>0</v>
      </c>
      <c r="O13" s="59">
        <f t="shared" si="0"/>
        <v>0</v>
      </c>
      <c r="P13" s="59">
        <f t="shared" si="0"/>
        <v>0</v>
      </c>
      <c r="Q13" s="59">
        <f t="shared" si="0"/>
        <v>0</v>
      </c>
      <c r="R13" s="59">
        <f t="shared" si="0"/>
        <v>0</v>
      </c>
      <c r="S13" s="59">
        <f t="shared" si="0"/>
        <v>0</v>
      </c>
      <c r="T13" s="59">
        <f t="shared" si="0"/>
        <v>0</v>
      </c>
      <c r="U13" s="59">
        <f t="shared" si="0"/>
        <v>0</v>
      </c>
      <c r="V13" s="59">
        <f t="shared" si="0"/>
        <v>0</v>
      </c>
      <c r="W13" s="59">
        <f t="shared" si="0"/>
        <v>260000</v>
      </c>
      <c r="X13" s="164"/>
      <c r="Y13" s="164"/>
      <c r="Z13" s="165"/>
      <c r="AA13" s="164"/>
      <c r="AB13" s="164"/>
      <c r="AC13" s="166"/>
      <c r="AD13" s="17"/>
      <c r="AE13" s="17"/>
      <c r="AF13" s="17"/>
      <c r="AG13" s="17"/>
      <c r="AH13" s="17"/>
      <c r="AI13" s="17"/>
    </row>
    <row r="14" spans="1:36" s="183" customFormat="1" x14ac:dyDescent="0.3">
      <c r="A14" s="416" t="s">
        <v>203</v>
      </c>
      <c r="B14" s="417"/>
      <c r="C14" s="52">
        <f t="shared" ref="C14:W14" si="1">C13</f>
        <v>7753272.9199999999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176">
        <f t="shared" si="1"/>
        <v>2</v>
      </c>
      <c r="K14" s="52">
        <f t="shared" si="1"/>
        <v>7346346</v>
      </c>
      <c r="L14" s="52">
        <f t="shared" si="1"/>
        <v>146926.92000000001</v>
      </c>
      <c r="M14" s="52">
        <f t="shared" si="1"/>
        <v>0</v>
      </c>
      <c r="N14" s="52">
        <f t="shared" si="1"/>
        <v>0</v>
      </c>
      <c r="O14" s="52">
        <f t="shared" si="1"/>
        <v>0</v>
      </c>
      <c r="P14" s="52">
        <f t="shared" si="1"/>
        <v>0</v>
      </c>
      <c r="Q14" s="52">
        <f t="shared" si="1"/>
        <v>0</v>
      </c>
      <c r="R14" s="52">
        <f t="shared" si="1"/>
        <v>0</v>
      </c>
      <c r="S14" s="52">
        <f t="shared" si="1"/>
        <v>0</v>
      </c>
      <c r="T14" s="52">
        <f t="shared" si="1"/>
        <v>0</v>
      </c>
      <c r="U14" s="52">
        <f t="shared" si="1"/>
        <v>0</v>
      </c>
      <c r="V14" s="52">
        <f t="shared" si="1"/>
        <v>0</v>
      </c>
      <c r="W14" s="52">
        <f t="shared" si="1"/>
        <v>260000</v>
      </c>
      <c r="X14" s="177"/>
      <c r="Y14" s="178"/>
      <c r="Z14" s="178"/>
      <c r="AA14" s="178"/>
      <c r="AB14" s="178"/>
      <c r="AC14" s="98"/>
      <c r="AD14" s="98"/>
      <c r="AE14" s="179"/>
      <c r="AF14" s="180"/>
      <c r="AG14" s="181"/>
      <c r="AH14" s="182"/>
      <c r="AI14" s="182"/>
    </row>
    <row r="15" spans="1:36" s="147" customFormat="1" ht="15" customHeight="1" x14ac:dyDescent="0.3">
      <c r="A15" s="380" t="s">
        <v>161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2"/>
      <c r="X15" s="152">
        <f>C15-D15-K15-L15-N15-P15-R15-S15-U15-V15-W15</f>
        <v>0</v>
      </c>
      <c r="Y15" s="184"/>
      <c r="Z15" s="185"/>
      <c r="AA15" s="186"/>
      <c r="AB15" s="186"/>
      <c r="AC15" s="186"/>
      <c r="AD15" s="186"/>
      <c r="AE15" s="186"/>
      <c r="AF15" s="186"/>
      <c r="AG15" s="187"/>
      <c r="AH15" s="188"/>
      <c r="AI15" s="188"/>
      <c r="AJ15" s="188"/>
    </row>
    <row r="16" spans="1:36" s="147" customFormat="1" ht="15" customHeight="1" x14ac:dyDescent="0.3">
      <c r="A16" s="189" t="s">
        <v>162</v>
      </c>
      <c r="B16" s="67"/>
      <c r="C16" s="59"/>
      <c r="D16" s="59"/>
      <c r="E16" s="59"/>
      <c r="F16" s="59"/>
      <c r="G16" s="59"/>
      <c r="H16" s="59"/>
      <c r="I16" s="59"/>
      <c r="J16" s="171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152">
        <f t="shared" ref="X16:X24" si="2">C16-D16-K16-L16-N16-P16-R16-S16-U16-V16-W16</f>
        <v>0</v>
      </c>
      <c r="Y16" s="190"/>
      <c r="Z16" s="190"/>
      <c r="AA16" s="59"/>
      <c r="AB16" s="59"/>
      <c r="AC16" s="59"/>
      <c r="AD16" s="59"/>
      <c r="AE16" s="59"/>
      <c r="AF16" s="59"/>
      <c r="AG16" s="187"/>
      <c r="AH16" s="188"/>
      <c r="AI16" s="188"/>
      <c r="AJ16" s="188"/>
    </row>
    <row r="17" spans="1:43" s="147" customFormat="1" x14ac:dyDescent="0.3">
      <c r="A17" s="171">
        <f>A12+1</f>
        <v>2</v>
      </c>
      <c r="B17" s="67" t="s">
        <v>163</v>
      </c>
      <c r="C17" s="59">
        <f>D17+K17+L17+N17+P17+R17+S17+U17+V17+W17</f>
        <v>81159</v>
      </c>
      <c r="D17" s="59"/>
      <c r="E17" s="59"/>
      <c r="F17" s="59"/>
      <c r="G17" s="59"/>
      <c r="H17" s="59"/>
      <c r="I17" s="59"/>
      <c r="J17" s="171"/>
      <c r="K17" s="59"/>
      <c r="L17" s="59"/>
      <c r="M17" s="59">
        <v>13</v>
      </c>
      <c r="N17" s="59">
        <f>6243*13</f>
        <v>81159</v>
      </c>
      <c r="O17" s="59"/>
      <c r="P17" s="59"/>
      <c r="Q17" s="59"/>
      <c r="R17" s="59"/>
      <c r="S17" s="59"/>
      <c r="T17" s="59"/>
      <c r="U17" s="59"/>
      <c r="V17" s="59"/>
      <c r="W17" s="59"/>
      <c r="X17" s="152">
        <f t="shared" si="2"/>
        <v>0</v>
      </c>
      <c r="Y17" s="190"/>
      <c r="Z17" s="190" t="s">
        <v>151</v>
      </c>
      <c r="AA17" s="59"/>
      <c r="AB17" s="59"/>
      <c r="AC17" s="59"/>
      <c r="AD17" s="59"/>
      <c r="AE17" s="59"/>
      <c r="AF17" s="59"/>
      <c r="AG17" s="187"/>
      <c r="AH17" s="188"/>
      <c r="AI17" s="188"/>
      <c r="AJ17" s="188"/>
    </row>
    <row r="18" spans="1:43" s="147" customFormat="1" x14ac:dyDescent="0.3">
      <c r="A18" s="191"/>
      <c r="B18" s="67" t="s">
        <v>35</v>
      </c>
      <c r="C18" s="59">
        <f t="shared" ref="C18:W18" si="3">SUM(C17:C17)</f>
        <v>81159</v>
      </c>
      <c r="D18" s="59">
        <f t="shared" si="3"/>
        <v>0</v>
      </c>
      <c r="E18" s="59">
        <f t="shared" si="3"/>
        <v>0</v>
      </c>
      <c r="F18" s="59">
        <f t="shared" si="3"/>
        <v>0</v>
      </c>
      <c r="G18" s="59">
        <f t="shared" si="3"/>
        <v>0</v>
      </c>
      <c r="H18" s="59">
        <f t="shared" si="3"/>
        <v>0</v>
      </c>
      <c r="I18" s="59">
        <f t="shared" si="3"/>
        <v>0</v>
      </c>
      <c r="J18" s="171">
        <f t="shared" si="3"/>
        <v>0</v>
      </c>
      <c r="K18" s="59">
        <f t="shared" si="3"/>
        <v>0</v>
      </c>
      <c r="L18" s="59">
        <f t="shared" si="3"/>
        <v>0</v>
      </c>
      <c r="M18" s="59">
        <f t="shared" si="3"/>
        <v>13</v>
      </c>
      <c r="N18" s="59">
        <f t="shared" si="3"/>
        <v>81159</v>
      </c>
      <c r="O18" s="59">
        <f t="shared" si="3"/>
        <v>0</v>
      </c>
      <c r="P18" s="59">
        <f t="shared" si="3"/>
        <v>0</v>
      </c>
      <c r="Q18" s="59">
        <f t="shared" si="3"/>
        <v>0</v>
      </c>
      <c r="R18" s="59">
        <f t="shared" si="3"/>
        <v>0</v>
      </c>
      <c r="S18" s="59">
        <f t="shared" si="3"/>
        <v>0</v>
      </c>
      <c r="T18" s="59">
        <f t="shared" si="3"/>
        <v>0</v>
      </c>
      <c r="U18" s="59">
        <f t="shared" si="3"/>
        <v>0</v>
      </c>
      <c r="V18" s="59">
        <f t="shared" si="3"/>
        <v>0</v>
      </c>
      <c r="W18" s="59">
        <f t="shared" si="3"/>
        <v>0</v>
      </c>
      <c r="X18" s="152">
        <f t="shared" si="2"/>
        <v>0</v>
      </c>
      <c r="Y18" s="190"/>
      <c r="Z18" s="190"/>
      <c r="AA18" s="59"/>
      <c r="AB18" s="59"/>
      <c r="AC18" s="59"/>
      <c r="AD18" s="59"/>
      <c r="AE18" s="59"/>
      <c r="AF18" s="59"/>
      <c r="AG18" s="187"/>
      <c r="AH18" s="188"/>
      <c r="AI18" s="188"/>
      <c r="AJ18" s="188"/>
    </row>
    <row r="19" spans="1:43" s="147" customFormat="1" x14ac:dyDescent="0.3">
      <c r="A19" s="418" t="s">
        <v>165</v>
      </c>
      <c r="B19" s="419"/>
      <c r="C19" s="192">
        <f>C18</f>
        <v>81159</v>
      </c>
      <c r="D19" s="192">
        <f t="shared" ref="D19:W19" si="4">D18</f>
        <v>0</v>
      </c>
      <c r="E19" s="192">
        <f t="shared" si="4"/>
        <v>0</v>
      </c>
      <c r="F19" s="192">
        <f t="shared" si="4"/>
        <v>0</v>
      </c>
      <c r="G19" s="192">
        <f t="shared" si="4"/>
        <v>0</v>
      </c>
      <c r="H19" s="192">
        <f t="shared" si="4"/>
        <v>0</v>
      </c>
      <c r="I19" s="192">
        <f t="shared" si="4"/>
        <v>0</v>
      </c>
      <c r="J19" s="193">
        <f t="shared" si="4"/>
        <v>0</v>
      </c>
      <c r="K19" s="192">
        <f t="shared" si="4"/>
        <v>0</v>
      </c>
      <c r="L19" s="192">
        <f t="shared" si="4"/>
        <v>0</v>
      </c>
      <c r="M19" s="192">
        <f t="shared" si="4"/>
        <v>13</v>
      </c>
      <c r="N19" s="192">
        <f t="shared" si="4"/>
        <v>81159</v>
      </c>
      <c r="O19" s="192">
        <f t="shared" si="4"/>
        <v>0</v>
      </c>
      <c r="P19" s="192">
        <f t="shared" si="4"/>
        <v>0</v>
      </c>
      <c r="Q19" s="192">
        <f t="shared" si="4"/>
        <v>0</v>
      </c>
      <c r="R19" s="192">
        <f t="shared" si="4"/>
        <v>0</v>
      </c>
      <c r="S19" s="192">
        <f t="shared" si="4"/>
        <v>0</v>
      </c>
      <c r="T19" s="192">
        <f t="shared" si="4"/>
        <v>0</v>
      </c>
      <c r="U19" s="192">
        <f t="shared" si="4"/>
        <v>0</v>
      </c>
      <c r="V19" s="192">
        <f t="shared" si="4"/>
        <v>0</v>
      </c>
      <c r="W19" s="192">
        <f t="shared" si="4"/>
        <v>0</v>
      </c>
      <c r="X19" s="152">
        <f t="shared" si="2"/>
        <v>0</v>
      </c>
      <c r="Y19" s="152"/>
      <c r="Z19" s="19"/>
      <c r="AA19" s="19"/>
      <c r="AB19" s="19"/>
      <c r="AC19" s="19"/>
      <c r="AD19" s="19"/>
      <c r="AE19" s="19"/>
      <c r="AF19" s="19"/>
      <c r="AG19" s="194"/>
      <c r="AH19" s="195"/>
      <c r="AI19" s="195"/>
      <c r="AJ19" s="195"/>
    </row>
    <row r="20" spans="1:43" s="147" customFormat="1" x14ac:dyDescent="0.3">
      <c r="A20" s="357" t="s">
        <v>172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9"/>
      <c r="X20" s="152">
        <f t="shared" si="2"/>
        <v>0</v>
      </c>
      <c r="Y20" s="196"/>
      <c r="Z20" s="19"/>
      <c r="AA20" s="19"/>
      <c r="AB20" s="19"/>
      <c r="AC20" s="19"/>
      <c r="AD20" s="19"/>
      <c r="AE20" s="19"/>
      <c r="AF20" s="149"/>
      <c r="AG20" s="146"/>
      <c r="AH20" s="146"/>
      <c r="AI20" s="146"/>
      <c r="AJ20" s="146"/>
    </row>
    <row r="21" spans="1:43" s="147" customFormat="1" x14ac:dyDescent="0.3">
      <c r="A21" s="197" t="s">
        <v>173</v>
      </c>
      <c r="B21" s="197"/>
      <c r="C21" s="192"/>
      <c r="D21" s="192"/>
      <c r="E21" s="192"/>
      <c r="F21" s="192"/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52">
        <f t="shared" si="2"/>
        <v>0</v>
      </c>
      <c r="Y21" s="196"/>
      <c r="Z21" s="19"/>
      <c r="AA21" s="19"/>
      <c r="AB21" s="19"/>
      <c r="AC21" s="19"/>
      <c r="AD21" s="19"/>
      <c r="AE21" s="19"/>
      <c r="AF21" s="149"/>
      <c r="AG21" s="146"/>
      <c r="AH21" s="146"/>
      <c r="AI21" s="146"/>
      <c r="AJ21" s="146"/>
    </row>
    <row r="22" spans="1:43" s="147" customFormat="1" x14ac:dyDescent="0.3">
      <c r="A22" s="171">
        <f>A17+1</f>
        <v>3</v>
      </c>
      <c r="B22" s="67" t="s">
        <v>174</v>
      </c>
      <c r="C22" s="59">
        <f>D22+K22+L22+N22+P22+R22+S22+U22+V22+W22</f>
        <v>765113.9</v>
      </c>
      <c r="D22" s="59">
        <f>E22+F22+G22+H22+I22</f>
        <v>0</v>
      </c>
      <c r="E22" s="59"/>
      <c r="F22" s="59"/>
      <c r="G22" s="59"/>
      <c r="H22" s="59"/>
      <c r="I22" s="59"/>
      <c r="J22" s="171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>
        <v>765113.9</v>
      </c>
      <c r="X22" s="152">
        <f t="shared" si="2"/>
        <v>0</v>
      </c>
      <c r="Y22" s="152"/>
      <c r="Z22" s="19" t="s">
        <v>13</v>
      </c>
      <c r="AA22" s="19"/>
      <c r="AB22" s="19"/>
      <c r="AC22" s="19"/>
      <c r="AD22" s="19"/>
      <c r="AE22" s="19"/>
      <c r="AF22" s="149"/>
      <c r="AG22" s="146">
        <v>765113.9</v>
      </c>
      <c r="AH22" s="146"/>
      <c r="AI22" s="146"/>
      <c r="AJ22" s="146"/>
    </row>
    <row r="23" spans="1:43" s="147" customFormat="1" x14ac:dyDescent="0.3">
      <c r="A23" s="198" t="s">
        <v>35</v>
      </c>
      <c r="B23" s="198"/>
      <c r="C23" s="59">
        <f>SUM(C22:C22)</f>
        <v>765113.9</v>
      </c>
      <c r="D23" s="59">
        <f t="shared" ref="D23:W23" si="5">SUM(D22:D22)</f>
        <v>0</v>
      </c>
      <c r="E23" s="59">
        <f t="shared" si="5"/>
        <v>0</v>
      </c>
      <c r="F23" s="59">
        <f t="shared" si="5"/>
        <v>0</v>
      </c>
      <c r="G23" s="59">
        <f t="shared" si="5"/>
        <v>0</v>
      </c>
      <c r="H23" s="59">
        <f t="shared" si="5"/>
        <v>0</v>
      </c>
      <c r="I23" s="59">
        <f t="shared" si="5"/>
        <v>0</v>
      </c>
      <c r="J23" s="171">
        <f t="shared" si="5"/>
        <v>0</v>
      </c>
      <c r="K23" s="59">
        <f t="shared" si="5"/>
        <v>0</v>
      </c>
      <c r="L23" s="59">
        <f t="shared" si="5"/>
        <v>0</v>
      </c>
      <c r="M23" s="59">
        <f t="shared" si="5"/>
        <v>0</v>
      </c>
      <c r="N23" s="59">
        <f t="shared" si="5"/>
        <v>0</v>
      </c>
      <c r="O23" s="59">
        <f t="shared" si="5"/>
        <v>0</v>
      </c>
      <c r="P23" s="59">
        <f t="shared" si="5"/>
        <v>0</v>
      </c>
      <c r="Q23" s="59">
        <f t="shared" si="5"/>
        <v>0</v>
      </c>
      <c r="R23" s="59">
        <f t="shared" si="5"/>
        <v>0</v>
      </c>
      <c r="S23" s="59">
        <f t="shared" si="5"/>
        <v>0</v>
      </c>
      <c r="T23" s="59">
        <f t="shared" si="5"/>
        <v>0</v>
      </c>
      <c r="U23" s="59">
        <f t="shared" si="5"/>
        <v>0</v>
      </c>
      <c r="V23" s="59">
        <f t="shared" si="5"/>
        <v>0</v>
      </c>
      <c r="W23" s="59">
        <f t="shared" si="5"/>
        <v>765113.9</v>
      </c>
      <c r="X23" s="152">
        <f t="shared" si="2"/>
        <v>0</v>
      </c>
      <c r="Y23" s="152"/>
      <c r="Z23" s="19"/>
      <c r="AA23" s="19"/>
      <c r="AB23" s="19"/>
      <c r="AC23" s="19"/>
      <c r="AD23" s="19"/>
      <c r="AE23" s="19"/>
      <c r="AF23" s="149"/>
      <c r="AG23" s="146"/>
      <c r="AH23" s="146"/>
      <c r="AI23" s="146"/>
      <c r="AJ23" s="146"/>
    </row>
    <row r="24" spans="1:43" s="147" customFormat="1" x14ac:dyDescent="0.3">
      <c r="A24" s="199" t="s">
        <v>175</v>
      </c>
      <c r="B24" s="199"/>
      <c r="C24" s="192">
        <f>C23</f>
        <v>765113.9</v>
      </c>
      <c r="D24" s="192">
        <f t="shared" ref="D24:W24" si="6">D23</f>
        <v>0</v>
      </c>
      <c r="E24" s="192">
        <f t="shared" si="6"/>
        <v>0</v>
      </c>
      <c r="F24" s="192">
        <f t="shared" si="6"/>
        <v>0</v>
      </c>
      <c r="G24" s="192">
        <f t="shared" si="6"/>
        <v>0</v>
      </c>
      <c r="H24" s="192">
        <f t="shared" si="6"/>
        <v>0</v>
      </c>
      <c r="I24" s="192">
        <f t="shared" si="6"/>
        <v>0</v>
      </c>
      <c r="J24" s="193">
        <f t="shared" si="6"/>
        <v>0</v>
      </c>
      <c r="K24" s="192">
        <f t="shared" si="6"/>
        <v>0</v>
      </c>
      <c r="L24" s="192">
        <f t="shared" si="6"/>
        <v>0</v>
      </c>
      <c r="M24" s="192">
        <f t="shared" si="6"/>
        <v>0</v>
      </c>
      <c r="N24" s="192">
        <f t="shared" si="6"/>
        <v>0</v>
      </c>
      <c r="O24" s="192">
        <f t="shared" si="6"/>
        <v>0</v>
      </c>
      <c r="P24" s="192">
        <f t="shared" si="6"/>
        <v>0</v>
      </c>
      <c r="Q24" s="192">
        <f t="shared" si="6"/>
        <v>0</v>
      </c>
      <c r="R24" s="192">
        <f t="shared" si="6"/>
        <v>0</v>
      </c>
      <c r="S24" s="192">
        <f t="shared" si="6"/>
        <v>0</v>
      </c>
      <c r="T24" s="192">
        <f t="shared" si="6"/>
        <v>0</v>
      </c>
      <c r="U24" s="192">
        <f t="shared" si="6"/>
        <v>0</v>
      </c>
      <c r="V24" s="192">
        <f t="shared" si="6"/>
        <v>0</v>
      </c>
      <c r="W24" s="192">
        <f t="shared" si="6"/>
        <v>765113.9</v>
      </c>
      <c r="X24" s="152">
        <f t="shared" si="2"/>
        <v>0</v>
      </c>
      <c r="Y24" s="152"/>
      <c r="Z24" s="19"/>
      <c r="AA24" s="19"/>
      <c r="AB24" s="19"/>
      <c r="AC24" s="19"/>
      <c r="AD24" s="19"/>
      <c r="AE24" s="19"/>
      <c r="AF24" s="149"/>
      <c r="AG24" s="146"/>
      <c r="AH24" s="146"/>
      <c r="AI24" s="146"/>
      <c r="AJ24" s="146"/>
    </row>
    <row r="25" spans="1:43" s="147" customFormat="1" x14ac:dyDescent="0.3">
      <c r="A25" s="357" t="s">
        <v>73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9"/>
      <c r="X25" s="152">
        <f t="shared" ref="X25:X32" si="7">C25-D25-K25-L25-N25-P25-R25-S25-U25-V25-W25</f>
        <v>0</v>
      </c>
      <c r="Y25" s="196"/>
      <c r="Z25" s="196"/>
      <c r="AA25" s="196" t="s">
        <v>74</v>
      </c>
      <c r="AB25" s="196" t="s">
        <v>75</v>
      </c>
      <c r="AC25" s="196" t="s">
        <v>76</v>
      </c>
      <c r="AD25" s="19" t="s">
        <v>77</v>
      </c>
      <c r="AE25" s="19" t="s">
        <v>78</v>
      </c>
      <c r="AF25" s="19"/>
      <c r="AG25" s="149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</row>
    <row r="26" spans="1:43" s="147" customFormat="1" x14ac:dyDescent="0.3">
      <c r="A26" s="200" t="s">
        <v>79</v>
      </c>
      <c r="B26" s="200"/>
      <c r="C26" s="201"/>
      <c r="D26" s="201"/>
      <c r="E26" s="201"/>
      <c r="F26" s="201"/>
      <c r="G26" s="201"/>
      <c r="H26" s="201"/>
      <c r="I26" s="201"/>
      <c r="J26" s="162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152">
        <f t="shared" si="7"/>
        <v>0</v>
      </c>
      <c r="Y26" s="152"/>
      <c r="Z26" s="152"/>
      <c r="AA26" s="152"/>
      <c r="AB26" s="152"/>
      <c r="AC26" s="152"/>
      <c r="AD26" s="152"/>
      <c r="AE26" s="19"/>
      <c r="AF26" s="19"/>
      <c r="AG26" s="149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</row>
    <row r="27" spans="1:43" s="147" customFormat="1" x14ac:dyDescent="0.3">
      <c r="A27" s="162">
        <f>A22+1</f>
        <v>4</v>
      </c>
      <c r="B27" s="202" t="s">
        <v>80</v>
      </c>
      <c r="C27" s="201">
        <f>D27+K27+L27+N27+P27+R27+S27+U27+V27+W27</f>
        <v>2815579.2</v>
      </c>
      <c r="D27" s="201">
        <f>E27+F27+G27+H27+I27</f>
        <v>2815579.2</v>
      </c>
      <c r="E27" s="201">
        <v>2815579.2</v>
      </c>
      <c r="F27" s="201"/>
      <c r="G27" s="201"/>
      <c r="H27" s="201"/>
      <c r="I27" s="201"/>
      <c r="J27" s="162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152">
        <f t="shared" si="7"/>
        <v>0</v>
      </c>
      <c r="Y27" s="152"/>
      <c r="Z27" s="152"/>
      <c r="AA27" s="152"/>
      <c r="AB27" s="152"/>
      <c r="AC27" s="152"/>
      <c r="AD27" s="152"/>
      <c r="AE27" s="19">
        <v>231370.32</v>
      </c>
      <c r="AF27" s="19"/>
      <c r="AG27" s="149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spans="1:43" s="147" customFormat="1" x14ac:dyDescent="0.3">
      <c r="A28" s="203" t="s">
        <v>35</v>
      </c>
      <c r="B28" s="203"/>
      <c r="C28" s="201">
        <f>SUM(C27:C27)</f>
        <v>2815579.2</v>
      </c>
      <c r="D28" s="201">
        <f>SUM(D27:D27)</f>
        <v>2815579.2</v>
      </c>
      <c r="E28" s="201">
        <f t="shared" ref="E28:W28" si="8">SUM(E27:E27)</f>
        <v>2815579.2</v>
      </c>
      <c r="F28" s="201">
        <f t="shared" si="8"/>
        <v>0</v>
      </c>
      <c r="G28" s="201">
        <f t="shared" si="8"/>
        <v>0</v>
      </c>
      <c r="H28" s="201">
        <f t="shared" si="8"/>
        <v>0</v>
      </c>
      <c r="I28" s="201">
        <f t="shared" si="8"/>
        <v>0</v>
      </c>
      <c r="J28" s="162">
        <f t="shared" si="8"/>
        <v>0</v>
      </c>
      <c r="K28" s="201">
        <f t="shared" si="8"/>
        <v>0</v>
      </c>
      <c r="L28" s="201">
        <f t="shared" si="8"/>
        <v>0</v>
      </c>
      <c r="M28" s="201">
        <f t="shared" si="8"/>
        <v>0</v>
      </c>
      <c r="N28" s="201">
        <f t="shared" si="8"/>
        <v>0</v>
      </c>
      <c r="O28" s="201">
        <f t="shared" si="8"/>
        <v>0</v>
      </c>
      <c r="P28" s="201">
        <f t="shared" si="8"/>
        <v>0</v>
      </c>
      <c r="Q28" s="201">
        <f t="shared" si="8"/>
        <v>0</v>
      </c>
      <c r="R28" s="201">
        <f t="shared" si="8"/>
        <v>0</v>
      </c>
      <c r="S28" s="201">
        <f t="shared" si="8"/>
        <v>0</v>
      </c>
      <c r="T28" s="201">
        <f t="shared" si="8"/>
        <v>0</v>
      </c>
      <c r="U28" s="201">
        <f t="shared" si="8"/>
        <v>0</v>
      </c>
      <c r="V28" s="201">
        <f t="shared" si="8"/>
        <v>0</v>
      </c>
      <c r="W28" s="201">
        <f t="shared" si="8"/>
        <v>0</v>
      </c>
      <c r="X28" s="152">
        <f t="shared" si="7"/>
        <v>0</v>
      </c>
      <c r="Y28" s="152"/>
      <c r="Z28" s="204"/>
      <c r="AA28" s="152"/>
      <c r="AB28" s="152"/>
      <c r="AC28" s="152"/>
      <c r="AD28" s="152"/>
      <c r="AE28" s="19"/>
      <c r="AF28" s="19"/>
      <c r="AG28" s="149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</row>
    <row r="29" spans="1:43" s="147" customFormat="1" ht="29.25" customHeight="1" x14ac:dyDescent="0.3">
      <c r="A29" s="351" t="s">
        <v>82</v>
      </c>
      <c r="B29" s="352"/>
      <c r="C29" s="205">
        <f>C28</f>
        <v>2815579.2</v>
      </c>
      <c r="D29" s="205">
        <f>D28</f>
        <v>2815579.2</v>
      </c>
      <c r="E29" s="205">
        <f t="shared" ref="E29:W29" si="9">E28</f>
        <v>2815579.2</v>
      </c>
      <c r="F29" s="205">
        <f t="shared" si="9"/>
        <v>0</v>
      </c>
      <c r="G29" s="205">
        <f t="shared" si="9"/>
        <v>0</v>
      </c>
      <c r="H29" s="205">
        <f t="shared" si="9"/>
        <v>0</v>
      </c>
      <c r="I29" s="205">
        <f t="shared" si="9"/>
        <v>0</v>
      </c>
      <c r="J29" s="206">
        <f t="shared" si="9"/>
        <v>0</v>
      </c>
      <c r="K29" s="205">
        <f t="shared" si="9"/>
        <v>0</v>
      </c>
      <c r="L29" s="205">
        <f t="shared" si="9"/>
        <v>0</v>
      </c>
      <c r="M29" s="205">
        <f t="shared" si="9"/>
        <v>0</v>
      </c>
      <c r="N29" s="205">
        <f t="shared" si="9"/>
        <v>0</v>
      </c>
      <c r="O29" s="205">
        <f t="shared" si="9"/>
        <v>0</v>
      </c>
      <c r="P29" s="205">
        <f t="shared" si="9"/>
        <v>0</v>
      </c>
      <c r="Q29" s="205">
        <f t="shared" si="9"/>
        <v>0</v>
      </c>
      <c r="R29" s="205">
        <f t="shared" si="9"/>
        <v>0</v>
      </c>
      <c r="S29" s="205">
        <f t="shared" si="9"/>
        <v>0</v>
      </c>
      <c r="T29" s="205">
        <f t="shared" si="9"/>
        <v>0</v>
      </c>
      <c r="U29" s="205">
        <f t="shared" si="9"/>
        <v>0</v>
      </c>
      <c r="V29" s="205">
        <f t="shared" si="9"/>
        <v>0</v>
      </c>
      <c r="W29" s="205">
        <f t="shared" si="9"/>
        <v>0</v>
      </c>
      <c r="X29" s="152">
        <f t="shared" si="7"/>
        <v>0</v>
      </c>
      <c r="Y29" s="152"/>
      <c r="Z29" s="204"/>
      <c r="AA29" s="152"/>
      <c r="AB29" s="152"/>
      <c r="AC29" s="152"/>
      <c r="AD29" s="152"/>
      <c r="AE29" s="19"/>
      <c r="AF29" s="19"/>
      <c r="AG29" s="149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</row>
    <row r="30" spans="1:43" s="147" customFormat="1" ht="15" customHeight="1" x14ac:dyDescent="0.3">
      <c r="A30" s="380" t="s">
        <v>189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2"/>
      <c r="X30" s="152">
        <f t="shared" si="7"/>
        <v>0</v>
      </c>
      <c r="Y30" s="207"/>
      <c r="Z30" s="208"/>
      <c r="AA30" s="186"/>
      <c r="AB30" s="186"/>
      <c r="AC30" s="186"/>
      <c r="AD30" s="186"/>
      <c r="AE30" s="186"/>
      <c r="AF30" s="186"/>
      <c r="AG30" s="186"/>
      <c r="AH30" s="186"/>
      <c r="AI30" s="187"/>
      <c r="AJ30" s="188"/>
      <c r="AK30" s="188"/>
      <c r="AL30" s="146"/>
    </row>
    <row r="31" spans="1:43" s="147" customFormat="1" ht="15" customHeight="1" x14ac:dyDescent="0.3">
      <c r="A31" s="209" t="s">
        <v>187</v>
      </c>
      <c r="B31" s="67"/>
      <c r="C31" s="59"/>
      <c r="D31" s="59"/>
      <c r="E31" s="59"/>
      <c r="F31" s="59"/>
      <c r="G31" s="59"/>
      <c r="H31" s="59"/>
      <c r="I31" s="59"/>
      <c r="J31" s="171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152">
        <f t="shared" si="7"/>
        <v>0</v>
      </c>
      <c r="Y31" s="210"/>
      <c r="Z31" s="211"/>
      <c r="AA31" s="59"/>
      <c r="AB31" s="59"/>
      <c r="AC31" s="59"/>
      <c r="AD31" s="59"/>
      <c r="AE31" s="59"/>
      <c r="AF31" s="59"/>
      <c r="AG31" s="59"/>
      <c r="AH31" s="59"/>
      <c r="AI31" s="187"/>
      <c r="AJ31" s="188"/>
      <c r="AK31" s="212"/>
      <c r="AL31" s="146"/>
    </row>
    <row r="32" spans="1:43" s="147" customFormat="1" ht="24" customHeight="1" x14ac:dyDescent="0.3">
      <c r="A32" s="171">
        <f>A27+1</f>
        <v>5</v>
      </c>
      <c r="B32" s="67" t="s">
        <v>188</v>
      </c>
      <c r="C32" s="59">
        <f t="shared" ref="C32:C71" si="10">D32+K32+L32+N32+P32+R32+S32+U32+V32+W32</f>
        <v>1493606.71</v>
      </c>
      <c r="D32" s="59">
        <f t="shared" ref="D32:D71" si="11">E32+F32+G32+H32+I32</f>
        <v>0</v>
      </c>
      <c r="E32" s="59"/>
      <c r="F32" s="59"/>
      <c r="G32" s="59"/>
      <c r="H32" s="59"/>
      <c r="I32" s="59"/>
      <c r="J32" s="171"/>
      <c r="K32" s="59"/>
      <c r="L32" s="59"/>
      <c r="M32" s="59"/>
      <c r="N32" s="59"/>
      <c r="O32" s="59"/>
      <c r="P32" s="59"/>
      <c r="Q32" s="59"/>
      <c r="R32" s="59">
        <v>1493606.71</v>
      </c>
      <c r="S32" s="59"/>
      <c r="T32" s="59"/>
      <c r="U32" s="59"/>
      <c r="V32" s="59"/>
      <c r="W32" s="59"/>
      <c r="X32" s="152">
        <f t="shared" si="7"/>
        <v>0</v>
      </c>
      <c r="Y32" s="210"/>
      <c r="Z32" s="211" t="s">
        <v>190</v>
      </c>
      <c r="AA32" s="59"/>
      <c r="AB32" s="59"/>
      <c r="AC32" s="59"/>
      <c r="AD32" s="59"/>
      <c r="AE32" s="59"/>
      <c r="AF32" s="59"/>
      <c r="AG32" s="59"/>
      <c r="AH32" s="59"/>
      <c r="AI32" s="187"/>
      <c r="AJ32" s="188"/>
      <c r="AK32" s="212"/>
      <c r="AL32" s="146"/>
    </row>
    <row r="33" spans="1:38" s="147" customFormat="1" ht="24" customHeight="1" x14ac:dyDescent="0.3">
      <c r="A33" s="213">
        <f>A32+1</f>
        <v>6</v>
      </c>
      <c r="B33" s="30" t="s">
        <v>241</v>
      </c>
      <c r="C33" s="59">
        <f t="shared" si="10"/>
        <v>1024444.9</v>
      </c>
      <c r="D33" s="59">
        <f t="shared" si="11"/>
        <v>0</v>
      </c>
      <c r="E33" s="129"/>
      <c r="F33" s="129"/>
      <c r="G33" s="129"/>
      <c r="H33" s="129"/>
      <c r="I33" s="129"/>
      <c r="J33" s="118"/>
      <c r="K33" s="129"/>
      <c r="L33" s="129"/>
      <c r="M33" s="214"/>
      <c r="N33" s="129">
        <v>1024444.9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52"/>
      <c r="Y33" s="152"/>
      <c r="Z33" s="215"/>
      <c r="AA33" s="152"/>
      <c r="AB33" s="152"/>
      <c r="AC33" s="152"/>
      <c r="AD33" s="152"/>
      <c r="AE33" s="152"/>
      <c r="AF33" s="152"/>
      <c r="AG33" s="152"/>
      <c r="AH33" s="152"/>
      <c r="AI33" s="216"/>
      <c r="AJ33" s="217"/>
      <c r="AK33" s="218"/>
      <c r="AL33" s="146"/>
    </row>
    <row r="34" spans="1:38" s="147" customFormat="1" ht="24" customHeight="1" x14ac:dyDescent="0.3">
      <c r="A34" s="213">
        <f t="shared" ref="A34:A71" si="12">A33+1</f>
        <v>7</v>
      </c>
      <c r="B34" s="130" t="s">
        <v>242</v>
      </c>
      <c r="C34" s="59">
        <f t="shared" si="10"/>
        <v>658786.15</v>
      </c>
      <c r="D34" s="59">
        <f t="shared" si="11"/>
        <v>0</v>
      </c>
      <c r="E34" s="129"/>
      <c r="F34" s="129"/>
      <c r="G34" s="129"/>
      <c r="H34" s="129"/>
      <c r="I34" s="129"/>
      <c r="J34" s="118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>
        <v>658786.15</v>
      </c>
      <c r="V34" s="129"/>
      <c r="W34" s="129"/>
      <c r="X34" s="152"/>
      <c r="Y34" s="152"/>
      <c r="Z34" s="215"/>
      <c r="AA34" s="152"/>
      <c r="AB34" s="152"/>
      <c r="AC34" s="152"/>
      <c r="AD34" s="152"/>
      <c r="AE34" s="152"/>
      <c r="AF34" s="152"/>
      <c r="AG34" s="152"/>
      <c r="AH34" s="152"/>
      <c r="AI34" s="216"/>
      <c r="AJ34" s="217"/>
      <c r="AK34" s="218"/>
      <c r="AL34" s="146"/>
    </row>
    <row r="35" spans="1:38" s="147" customFormat="1" ht="24" customHeight="1" x14ac:dyDescent="0.3">
      <c r="A35" s="213">
        <f t="shared" si="12"/>
        <v>8</v>
      </c>
      <c r="B35" s="130" t="s">
        <v>243</v>
      </c>
      <c r="C35" s="59">
        <f t="shared" si="10"/>
        <v>678456.59</v>
      </c>
      <c r="D35" s="59">
        <f t="shared" si="11"/>
        <v>678456.59</v>
      </c>
      <c r="E35" s="129"/>
      <c r="F35" s="129"/>
      <c r="G35" s="129">
        <v>678456.59</v>
      </c>
      <c r="H35" s="129"/>
      <c r="I35" s="129"/>
      <c r="J35" s="118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52"/>
      <c r="Y35" s="152"/>
      <c r="Z35" s="215"/>
      <c r="AA35" s="152"/>
      <c r="AB35" s="152"/>
      <c r="AC35" s="152"/>
      <c r="AD35" s="152"/>
      <c r="AE35" s="152"/>
      <c r="AF35" s="152"/>
      <c r="AG35" s="152"/>
      <c r="AH35" s="152"/>
      <c r="AI35" s="216"/>
      <c r="AJ35" s="217"/>
      <c r="AK35" s="218"/>
      <c r="AL35" s="146"/>
    </row>
    <row r="36" spans="1:38" s="147" customFormat="1" ht="24" customHeight="1" x14ac:dyDescent="0.3">
      <c r="A36" s="213">
        <f t="shared" si="12"/>
        <v>9</v>
      </c>
      <c r="B36" s="130" t="s">
        <v>244</v>
      </c>
      <c r="C36" s="59">
        <f t="shared" si="10"/>
        <v>613397.12</v>
      </c>
      <c r="D36" s="59">
        <f t="shared" si="11"/>
        <v>613397.12</v>
      </c>
      <c r="E36" s="129"/>
      <c r="F36" s="129"/>
      <c r="G36" s="129"/>
      <c r="H36" s="129">
        <v>613397.12</v>
      </c>
      <c r="I36" s="129"/>
      <c r="J36" s="118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52"/>
      <c r="Y36" s="152"/>
      <c r="Z36" s="215"/>
      <c r="AA36" s="152"/>
      <c r="AB36" s="152"/>
      <c r="AC36" s="152"/>
      <c r="AD36" s="152"/>
      <c r="AE36" s="152"/>
      <c r="AF36" s="152"/>
      <c r="AG36" s="152"/>
      <c r="AH36" s="152"/>
      <c r="AI36" s="216"/>
      <c r="AJ36" s="217"/>
      <c r="AK36" s="218"/>
      <c r="AL36" s="146"/>
    </row>
    <row r="37" spans="1:38" s="147" customFormat="1" ht="24" customHeight="1" x14ac:dyDescent="0.3">
      <c r="A37" s="213">
        <f t="shared" si="12"/>
        <v>10</v>
      </c>
      <c r="B37" s="130" t="s">
        <v>245</v>
      </c>
      <c r="C37" s="59">
        <f t="shared" si="10"/>
        <v>1854221.05</v>
      </c>
      <c r="D37" s="59">
        <f t="shared" si="11"/>
        <v>1854221.05</v>
      </c>
      <c r="E37" s="129"/>
      <c r="F37" s="129">
        <v>1854221.05</v>
      </c>
      <c r="G37" s="129"/>
      <c r="H37" s="129"/>
      <c r="I37" s="129"/>
      <c r="J37" s="118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52"/>
      <c r="Y37" s="152"/>
      <c r="Z37" s="215"/>
      <c r="AA37" s="152"/>
      <c r="AB37" s="152"/>
      <c r="AC37" s="152"/>
      <c r="AD37" s="152"/>
      <c r="AE37" s="152"/>
      <c r="AF37" s="152"/>
      <c r="AG37" s="152"/>
      <c r="AH37" s="152"/>
      <c r="AI37" s="216"/>
      <c r="AJ37" s="217"/>
      <c r="AK37" s="218"/>
      <c r="AL37" s="146"/>
    </row>
    <row r="38" spans="1:38" s="147" customFormat="1" ht="24" customHeight="1" x14ac:dyDescent="0.3">
      <c r="A38" s="213">
        <f t="shared" si="12"/>
        <v>11</v>
      </c>
      <c r="B38" s="130" t="s">
        <v>246</v>
      </c>
      <c r="C38" s="59">
        <f t="shared" si="10"/>
        <v>555434.44999999995</v>
      </c>
      <c r="D38" s="59">
        <f t="shared" si="11"/>
        <v>555434.44999999995</v>
      </c>
      <c r="E38" s="129"/>
      <c r="F38" s="129"/>
      <c r="G38" s="129"/>
      <c r="H38" s="129">
        <v>555434.44999999995</v>
      </c>
      <c r="I38" s="129"/>
      <c r="J38" s="11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52"/>
      <c r="Y38" s="152"/>
      <c r="Z38" s="215"/>
      <c r="AA38" s="152"/>
      <c r="AB38" s="152"/>
      <c r="AC38" s="152"/>
      <c r="AD38" s="152"/>
      <c r="AE38" s="152"/>
      <c r="AF38" s="152"/>
      <c r="AG38" s="152"/>
      <c r="AH38" s="152"/>
      <c r="AI38" s="216"/>
      <c r="AJ38" s="217"/>
      <c r="AK38" s="218"/>
      <c r="AL38" s="146"/>
    </row>
    <row r="39" spans="1:38" s="147" customFormat="1" ht="24" customHeight="1" x14ac:dyDescent="0.3">
      <c r="A39" s="213">
        <f t="shared" si="12"/>
        <v>12</v>
      </c>
      <c r="B39" s="130" t="s">
        <v>247</v>
      </c>
      <c r="C39" s="59">
        <f t="shared" si="10"/>
        <v>2721744.67</v>
      </c>
      <c r="D39" s="59">
        <f t="shared" si="11"/>
        <v>2721744.67</v>
      </c>
      <c r="E39" s="129">
        <v>2721744.67</v>
      </c>
      <c r="F39" s="129"/>
      <c r="G39" s="129"/>
      <c r="H39" s="129"/>
      <c r="I39" s="129"/>
      <c r="J39" s="118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52"/>
      <c r="Y39" s="152"/>
      <c r="Z39" s="215"/>
      <c r="AA39" s="152"/>
      <c r="AB39" s="152"/>
      <c r="AC39" s="152"/>
      <c r="AD39" s="152"/>
      <c r="AE39" s="152"/>
      <c r="AF39" s="152"/>
      <c r="AG39" s="152"/>
      <c r="AH39" s="152"/>
      <c r="AI39" s="216"/>
      <c r="AJ39" s="217"/>
      <c r="AK39" s="218"/>
      <c r="AL39" s="146"/>
    </row>
    <row r="40" spans="1:38" s="147" customFormat="1" ht="24" customHeight="1" x14ac:dyDescent="0.3">
      <c r="A40" s="213">
        <f t="shared" si="12"/>
        <v>13</v>
      </c>
      <c r="B40" s="130" t="s">
        <v>279</v>
      </c>
      <c r="C40" s="59">
        <f>D40+K40+L40+N40+P40+R40+S40+U40+V40+W40</f>
        <v>1012392.52</v>
      </c>
      <c r="D40" s="59">
        <f>E40+F40+G40+H40+I40</f>
        <v>1012392.52</v>
      </c>
      <c r="E40" s="129"/>
      <c r="F40" s="129">
        <v>1012392.52</v>
      </c>
      <c r="G40" s="129"/>
      <c r="H40" s="129"/>
      <c r="I40" s="129"/>
      <c r="J40" s="118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52"/>
      <c r="Y40" s="152"/>
      <c r="Z40" s="215"/>
      <c r="AA40" s="152"/>
      <c r="AB40" s="152"/>
      <c r="AC40" s="152"/>
      <c r="AD40" s="152"/>
      <c r="AE40" s="152"/>
      <c r="AF40" s="152"/>
      <c r="AG40" s="152"/>
      <c r="AH40" s="152"/>
      <c r="AI40" s="216"/>
      <c r="AJ40" s="217"/>
      <c r="AK40" s="218"/>
      <c r="AL40" s="146"/>
    </row>
    <row r="41" spans="1:38" s="147" customFormat="1" ht="24" customHeight="1" x14ac:dyDescent="0.3">
      <c r="A41" s="213">
        <f t="shared" si="12"/>
        <v>14</v>
      </c>
      <c r="B41" s="130" t="s">
        <v>248</v>
      </c>
      <c r="C41" s="59">
        <f t="shared" si="10"/>
        <v>208315.93</v>
      </c>
      <c r="D41" s="59">
        <f t="shared" si="11"/>
        <v>208315.93</v>
      </c>
      <c r="E41" s="129"/>
      <c r="F41" s="129"/>
      <c r="G41" s="129"/>
      <c r="H41" s="129"/>
      <c r="I41" s="129">
        <v>208315.93</v>
      </c>
      <c r="J41" s="118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52"/>
      <c r="Y41" s="152"/>
      <c r="Z41" s="215"/>
      <c r="AA41" s="152"/>
      <c r="AB41" s="152"/>
      <c r="AC41" s="152"/>
      <c r="AD41" s="152"/>
      <c r="AE41" s="152"/>
      <c r="AF41" s="152"/>
      <c r="AG41" s="152"/>
      <c r="AH41" s="152"/>
      <c r="AI41" s="216"/>
      <c r="AJ41" s="217"/>
      <c r="AK41" s="218"/>
      <c r="AL41" s="146"/>
    </row>
    <row r="42" spans="1:38" s="147" customFormat="1" ht="24" customHeight="1" x14ac:dyDescent="0.3">
      <c r="A42" s="213">
        <f t="shared" si="12"/>
        <v>15</v>
      </c>
      <c r="B42" s="130" t="s">
        <v>249</v>
      </c>
      <c r="C42" s="59">
        <f t="shared" si="10"/>
        <v>754536.68</v>
      </c>
      <c r="D42" s="59">
        <f t="shared" si="11"/>
        <v>0</v>
      </c>
      <c r="E42" s="129"/>
      <c r="F42" s="129"/>
      <c r="G42" s="129"/>
      <c r="H42" s="129"/>
      <c r="I42" s="129"/>
      <c r="J42" s="118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>
        <v>754536.68</v>
      </c>
      <c r="V42" s="129"/>
      <c r="W42" s="129"/>
      <c r="X42" s="152"/>
      <c r="Y42" s="152"/>
      <c r="Z42" s="215"/>
      <c r="AA42" s="152"/>
      <c r="AB42" s="152"/>
      <c r="AC42" s="152"/>
      <c r="AD42" s="152"/>
      <c r="AE42" s="152"/>
      <c r="AF42" s="152"/>
      <c r="AG42" s="152"/>
      <c r="AH42" s="152"/>
      <c r="AI42" s="216"/>
      <c r="AJ42" s="217"/>
      <c r="AK42" s="218"/>
      <c r="AL42" s="146"/>
    </row>
    <row r="43" spans="1:38" s="147" customFormat="1" ht="24" customHeight="1" x14ac:dyDescent="0.3">
      <c r="A43" s="213">
        <f t="shared" si="12"/>
        <v>16</v>
      </c>
      <c r="B43" s="130" t="s">
        <v>250</v>
      </c>
      <c r="C43" s="59">
        <f t="shared" si="10"/>
        <v>1759221.84</v>
      </c>
      <c r="D43" s="59">
        <f t="shared" si="11"/>
        <v>1759221.84</v>
      </c>
      <c r="E43" s="129"/>
      <c r="F43" s="129">
        <v>1759221.84</v>
      </c>
      <c r="G43" s="129"/>
      <c r="H43" s="129"/>
      <c r="I43" s="129"/>
      <c r="J43" s="11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52"/>
      <c r="Y43" s="152"/>
      <c r="Z43" s="215"/>
      <c r="AA43" s="152"/>
      <c r="AB43" s="152"/>
      <c r="AC43" s="152"/>
      <c r="AD43" s="152"/>
      <c r="AE43" s="152"/>
      <c r="AF43" s="152"/>
      <c r="AG43" s="152"/>
      <c r="AH43" s="152"/>
      <c r="AI43" s="216"/>
      <c r="AJ43" s="217"/>
      <c r="AK43" s="218"/>
      <c r="AL43" s="146"/>
    </row>
    <row r="44" spans="1:38" s="147" customFormat="1" ht="24" customHeight="1" x14ac:dyDescent="0.3">
      <c r="A44" s="213">
        <f t="shared" si="12"/>
        <v>17</v>
      </c>
      <c r="B44" s="130" t="s">
        <v>251</v>
      </c>
      <c r="C44" s="59">
        <f t="shared" si="10"/>
        <v>1277250.68</v>
      </c>
      <c r="D44" s="59">
        <f t="shared" si="11"/>
        <v>0</v>
      </c>
      <c r="E44" s="129"/>
      <c r="F44" s="129"/>
      <c r="G44" s="129"/>
      <c r="H44" s="129"/>
      <c r="I44" s="129"/>
      <c r="J44" s="118"/>
      <c r="K44" s="129"/>
      <c r="L44" s="129"/>
      <c r="M44" s="129"/>
      <c r="N44" s="129">
        <v>1277250.68</v>
      </c>
      <c r="O44" s="129"/>
      <c r="P44" s="129"/>
      <c r="Q44" s="129"/>
      <c r="R44" s="129"/>
      <c r="S44" s="129"/>
      <c r="T44" s="129"/>
      <c r="U44" s="129"/>
      <c r="V44" s="129"/>
      <c r="W44" s="129"/>
      <c r="X44" s="152"/>
      <c r="Y44" s="152"/>
      <c r="Z44" s="215"/>
      <c r="AA44" s="152"/>
      <c r="AB44" s="152"/>
      <c r="AC44" s="152"/>
      <c r="AD44" s="152"/>
      <c r="AE44" s="152"/>
      <c r="AF44" s="152"/>
      <c r="AG44" s="152"/>
      <c r="AH44" s="152"/>
      <c r="AI44" s="216"/>
      <c r="AJ44" s="217"/>
      <c r="AK44" s="218"/>
      <c r="AL44" s="146"/>
    </row>
    <row r="45" spans="1:38" s="147" customFormat="1" ht="24" customHeight="1" x14ac:dyDescent="0.3">
      <c r="A45" s="213">
        <f t="shared" si="12"/>
        <v>18</v>
      </c>
      <c r="B45" s="130" t="s">
        <v>252</v>
      </c>
      <c r="C45" s="59">
        <f t="shared" si="10"/>
        <v>931092.88</v>
      </c>
      <c r="D45" s="59">
        <f t="shared" si="11"/>
        <v>931092.88</v>
      </c>
      <c r="E45" s="129"/>
      <c r="F45" s="129"/>
      <c r="G45" s="129"/>
      <c r="H45" s="129">
        <v>931092.88</v>
      </c>
      <c r="I45" s="129"/>
      <c r="J45" s="118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52"/>
      <c r="Y45" s="152"/>
      <c r="Z45" s="215"/>
      <c r="AA45" s="152"/>
      <c r="AB45" s="152"/>
      <c r="AC45" s="152"/>
      <c r="AD45" s="152"/>
      <c r="AE45" s="152"/>
      <c r="AF45" s="152"/>
      <c r="AG45" s="152"/>
      <c r="AH45" s="152"/>
      <c r="AI45" s="216"/>
      <c r="AJ45" s="217"/>
      <c r="AK45" s="218"/>
      <c r="AL45" s="146"/>
    </row>
    <row r="46" spans="1:38" s="147" customFormat="1" ht="24" customHeight="1" x14ac:dyDescent="0.3">
      <c r="A46" s="213">
        <f t="shared" si="12"/>
        <v>19</v>
      </c>
      <c r="B46" s="130" t="s">
        <v>253</v>
      </c>
      <c r="C46" s="59">
        <f t="shared" si="10"/>
        <v>1113524.8</v>
      </c>
      <c r="D46" s="59">
        <f t="shared" si="11"/>
        <v>1113524.8</v>
      </c>
      <c r="E46" s="129"/>
      <c r="F46" s="129"/>
      <c r="G46" s="129"/>
      <c r="H46" s="129">
        <v>1113524.8</v>
      </c>
      <c r="I46" s="129"/>
      <c r="J46" s="118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52"/>
      <c r="Y46" s="152"/>
      <c r="Z46" s="215"/>
      <c r="AA46" s="152"/>
      <c r="AB46" s="152"/>
      <c r="AC46" s="152"/>
      <c r="AD46" s="152"/>
      <c r="AE46" s="152"/>
      <c r="AF46" s="152"/>
      <c r="AG46" s="152"/>
      <c r="AH46" s="152"/>
      <c r="AI46" s="216"/>
      <c r="AJ46" s="217"/>
      <c r="AK46" s="218"/>
      <c r="AL46" s="146"/>
    </row>
    <row r="47" spans="1:38" s="147" customFormat="1" ht="24" customHeight="1" x14ac:dyDescent="0.3">
      <c r="A47" s="213">
        <f t="shared" si="12"/>
        <v>20</v>
      </c>
      <c r="B47" s="130" t="s">
        <v>254</v>
      </c>
      <c r="C47" s="59">
        <f t="shared" si="10"/>
        <v>1292192.51</v>
      </c>
      <c r="D47" s="59">
        <f t="shared" si="11"/>
        <v>1292192.51</v>
      </c>
      <c r="E47" s="129"/>
      <c r="F47" s="129">
        <v>1292192.51</v>
      </c>
      <c r="G47" s="129"/>
      <c r="H47" s="129"/>
      <c r="I47" s="129"/>
      <c r="J47" s="118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52"/>
      <c r="Y47" s="152"/>
      <c r="Z47" s="215"/>
      <c r="AA47" s="152"/>
      <c r="AB47" s="152"/>
      <c r="AC47" s="152"/>
      <c r="AD47" s="152"/>
      <c r="AE47" s="152"/>
      <c r="AF47" s="152"/>
      <c r="AG47" s="152"/>
      <c r="AH47" s="152"/>
      <c r="AI47" s="216"/>
      <c r="AJ47" s="217"/>
      <c r="AK47" s="218"/>
      <c r="AL47" s="146"/>
    </row>
    <row r="48" spans="1:38" s="147" customFormat="1" ht="24" customHeight="1" x14ac:dyDescent="0.3">
      <c r="A48" s="213">
        <f t="shared" si="12"/>
        <v>21</v>
      </c>
      <c r="B48" s="130" t="s">
        <v>255</v>
      </c>
      <c r="C48" s="59">
        <f t="shared" si="10"/>
        <v>868382.86</v>
      </c>
      <c r="D48" s="59">
        <f t="shared" si="11"/>
        <v>868382.86</v>
      </c>
      <c r="E48" s="129"/>
      <c r="F48" s="129"/>
      <c r="G48" s="129"/>
      <c r="H48" s="129">
        <v>868382.86</v>
      </c>
      <c r="I48" s="129"/>
      <c r="J48" s="118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52"/>
      <c r="Y48" s="152"/>
      <c r="Z48" s="215"/>
      <c r="AA48" s="152"/>
      <c r="AB48" s="152"/>
      <c r="AC48" s="152"/>
      <c r="AD48" s="152"/>
      <c r="AE48" s="152"/>
      <c r="AF48" s="152"/>
      <c r="AG48" s="152"/>
      <c r="AH48" s="152"/>
      <c r="AI48" s="216"/>
      <c r="AJ48" s="217"/>
      <c r="AK48" s="218"/>
      <c r="AL48" s="146"/>
    </row>
    <row r="49" spans="1:38" s="147" customFormat="1" ht="24" customHeight="1" x14ac:dyDescent="0.3">
      <c r="A49" s="213">
        <f t="shared" si="12"/>
        <v>22</v>
      </c>
      <c r="B49" s="130" t="s">
        <v>256</v>
      </c>
      <c r="C49" s="59">
        <f t="shared" si="10"/>
        <v>1009419.11</v>
      </c>
      <c r="D49" s="59">
        <f t="shared" si="11"/>
        <v>1009419.11</v>
      </c>
      <c r="E49" s="129"/>
      <c r="F49" s="129"/>
      <c r="G49" s="129"/>
      <c r="H49" s="129">
        <v>1009419.11</v>
      </c>
      <c r="I49" s="129"/>
      <c r="J49" s="11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52"/>
      <c r="Y49" s="152"/>
      <c r="Z49" s="215"/>
      <c r="AA49" s="152"/>
      <c r="AB49" s="152"/>
      <c r="AC49" s="152"/>
      <c r="AD49" s="152"/>
      <c r="AE49" s="152"/>
      <c r="AF49" s="152"/>
      <c r="AG49" s="152"/>
      <c r="AH49" s="152"/>
      <c r="AI49" s="216"/>
      <c r="AJ49" s="217"/>
      <c r="AK49" s="218"/>
      <c r="AL49" s="146"/>
    </row>
    <row r="50" spans="1:38" s="147" customFormat="1" ht="24" customHeight="1" x14ac:dyDescent="0.3">
      <c r="A50" s="213">
        <f t="shared" si="12"/>
        <v>23</v>
      </c>
      <c r="B50" s="130" t="s">
        <v>257</v>
      </c>
      <c r="C50" s="59">
        <f t="shared" si="10"/>
        <v>1647739.96</v>
      </c>
      <c r="D50" s="59">
        <f t="shared" si="11"/>
        <v>0</v>
      </c>
      <c r="E50" s="129"/>
      <c r="F50" s="129"/>
      <c r="G50" s="129"/>
      <c r="H50" s="129"/>
      <c r="I50" s="129"/>
      <c r="J50" s="118"/>
      <c r="K50" s="129"/>
      <c r="L50" s="129"/>
      <c r="M50" s="129"/>
      <c r="N50" s="129">
        <v>1647739.96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52"/>
      <c r="Y50" s="152"/>
      <c r="Z50" s="215"/>
      <c r="AA50" s="152"/>
      <c r="AB50" s="152"/>
      <c r="AC50" s="152"/>
      <c r="AD50" s="152"/>
      <c r="AE50" s="152"/>
      <c r="AF50" s="152"/>
      <c r="AG50" s="152"/>
      <c r="AH50" s="152"/>
      <c r="AI50" s="216"/>
      <c r="AJ50" s="217"/>
      <c r="AK50" s="218"/>
      <c r="AL50" s="146"/>
    </row>
    <row r="51" spans="1:38" s="147" customFormat="1" ht="24" customHeight="1" x14ac:dyDescent="0.3">
      <c r="A51" s="213">
        <f t="shared" si="12"/>
        <v>24</v>
      </c>
      <c r="B51" s="130" t="s">
        <v>258</v>
      </c>
      <c r="C51" s="59">
        <f t="shared" si="10"/>
        <v>2906325.53</v>
      </c>
      <c r="D51" s="59">
        <f t="shared" si="11"/>
        <v>2906325.53</v>
      </c>
      <c r="E51" s="129"/>
      <c r="F51" s="129">
        <v>2906325.53</v>
      </c>
      <c r="G51" s="129"/>
      <c r="H51" s="129"/>
      <c r="I51" s="129"/>
      <c r="J51" s="118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52"/>
      <c r="Y51" s="152"/>
      <c r="Z51" s="215"/>
      <c r="AA51" s="152"/>
      <c r="AB51" s="152"/>
      <c r="AC51" s="152"/>
      <c r="AD51" s="152"/>
      <c r="AE51" s="152"/>
      <c r="AF51" s="152"/>
      <c r="AG51" s="152"/>
      <c r="AH51" s="152"/>
      <c r="AI51" s="216"/>
      <c r="AJ51" s="217"/>
      <c r="AK51" s="218"/>
      <c r="AL51" s="146"/>
    </row>
    <row r="52" spans="1:38" s="147" customFormat="1" ht="24" customHeight="1" x14ac:dyDescent="0.3">
      <c r="A52" s="213">
        <f t="shared" si="12"/>
        <v>25</v>
      </c>
      <c r="B52" s="130" t="s">
        <v>259</v>
      </c>
      <c r="C52" s="59">
        <f t="shared" si="10"/>
        <v>1215027.28</v>
      </c>
      <c r="D52" s="59">
        <f t="shared" si="11"/>
        <v>1215027.28</v>
      </c>
      <c r="E52" s="129"/>
      <c r="F52" s="129"/>
      <c r="G52" s="129"/>
      <c r="H52" s="129">
        <v>1215027.28</v>
      </c>
      <c r="I52" s="129"/>
      <c r="J52" s="118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52"/>
      <c r="Y52" s="152"/>
      <c r="Z52" s="215"/>
      <c r="AA52" s="152"/>
      <c r="AB52" s="152"/>
      <c r="AC52" s="152"/>
      <c r="AD52" s="152"/>
      <c r="AE52" s="152"/>
      <c r="AF52" s="152"/>
      <c r="AG52" s="152"/>
      <c r="AH52" s="152"/>
      <c r="AI52" s="216"/>
      <c r="AJ52" s="217"/>
      <c r="AK52" s="218"/>
      <c r="AL52" s="146"/>
    </row>
    <row r="53" spans="1:38" s="147" customFormat="1" ht="24" customHeight="1" x14ac:dyDescent="0.3">
      <c r="A53" s="213">
        <f t="shared" si="12"/>
        <v>26</v>
      </c>
      <c r="B53" s="130" t="s">
        <v>260</v>
      </c>
      <c r="C53" s="59">
        <f t="shared" si="10"/>
        <v>1816566.42</v>
      </c>
      <c r="D53" s="59">
        <f t="shared" si="11"/>
        <v>829476.73</v>
      </c>
      <c r="E53" s="129"/>
      <c r="F53" s="129">
        <v>829476.73</v>
      </c>
      <c r="G53" s="129"/>
      <c r="H53" s="129"/>
      <c r="I53" s="129"/>
      <c r="J53" s="118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>
        <v>987089.69</v>
      </c>
      <c r="V53" s="129"/>
      <c r="W53" s="129"/>
      <c r="X53" s="152"/>
      <c r="Y53" s="152"/>
      <c r="Z53" s="215"/>
      <c r="AA53" s="152"/>
      <c r="AB53" s="152"/>
      <c r="AC53" s="152"/>
      <c r="AD53" s="152"/>
      <c r="AE53" s="152"/>
      <c r="AF53" s="152"/>
      <c r="AG53" s="152"/>
      <c r="AH53" s="152"/>
      <c r="AI53" s="216"/>
      <c r="AJ53" s="217"/>
      <c r="AK53" s="218"/>
      <c r="AL53" s="146"/>
    </row>
    <row r="54" spans="1:38" s="147" customFormat="1" ht="24" customHeight="1" x14ac:dyDescent="0.3">
      <c r="A54" s="213">
        <f t="shared" si="12"/>
        <v>27</v>
      </c>
      <c r="B54" s="130" t="s">
        <v>261</v>
      </c>
      <c r="C54" s="59">
        <f t="shared" si="10"/>
        <v>567691.91</v>
      </c>
      <c r="D54" s="59">
        <f t="shared" si="11"/>
        <v>567691.91</v>
      </c>
      <c r="E54" s="129"/>
      <c r="F54" s="129"/>
      <c r="G54" s="129"/>
      <c r="H54" s="129">
        <v>567691.91</v>
      </c>
      <c r="I54" s="129"/>
      <c r="J54" s="118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52"/>
      <c r="Y54" s="152"/>
      <c r="Z54" s="215"/>
      <c r="AA54" s="152"/>
      <c r="AB54" s="152"/>
      <c r="AC54" s="152"/>
      <c r="AD54" s="152"/>
      <c r="AE54" s="152"/>
      <c r="AF54" s="152"/>
      <c r="AG54" s="152"/>
      <c r="AH54" s="152"/>
      <c r="AI54" s="216"/>
      <c r="AJ54" s="217"/>
      <c r="AK54" s="218"/>
      <c r="AL54" s="146"/>
    </row>
    <row r="55" spans="1:38" s="147" customFormat="1" ht="24" customHeight="1" x14ac:dyDescent="0.3">
      <c r="A55" s="213">
        <f t="shared" si="12"/>
        <v>28</v>
      </c>
      <c r="B55" s="130" t="s">
        <v>262</v>
      </c>
      <c r="C55" s="59">
        <f t="shared" si="10"/>
        <v>438869.27</v>
      </c>
      <c r="D55" s="59">
        <f t="shared" si="11"/>
        <v>438869.27</v>
      </c>
      <c r="E55" s="129"/>
      <c r="F55" s="129"/>
      <c r="G55" s="129"/>
      <c r="H55" s="129">
        <v>438869.27</v>
      </c>
      <c r="I55" s="129"/>
      <c r="J55" s="118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52"/>
      <c r="Y55" s="152"/>
      <c r="Z55" s="215"/>
      <c r="AA55" s="152"/>
      <c r="AB55" s="152"/>
      <c r="AC55" s="152"/>
      <c r="AD55" s="152"/>
      <c r="AE55" s="152"/>
      <c r="AF55" s="152"/>
      <c r="AG55" s="152"/>
      <c r="AH55" s="152"/>
      <c r="AI55" s="216"/>
      <c r="AJ55" s="217"/>
      <c r="AK55" s="218"/>
      <c r="AL55" s="146"/>
    </row>
    <row r="56" spans="1:38" s="147" customFormat="1" ht="24" customHeight="1" x14ac:dyDescent="0.3">
      <c r="A56" s="213">
        <f t="shared" si="12"/>
        <v>29</v>
      </c>
      <c r="B56" s="130" t="s">
        <v>263</v>
      </c>
      <c r="C56" s="59">
        <f t="shared" si="10"/>
        <v>1164168.6100000001</v>
      </c>
      <c r="D56" s="59">
        <f t="shared" si="11"/>
        <v>1164168.6100000001</v>
      </c>
      <c r="E56" s="129"/>
      <c r="F56" s="129">
        <v>1164168.6100000001</v>
      </c>
      <c r="G56" s="129"/>
      <c r="H56" s="129"/>
      <c r="I56" s="129"/>
      <c r="J56" s="118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52"/>
      <c r="Y56" s="152"/>
      <c r="Z56" s="215"/>
      <c r="AA56" s="152"/>
      <c r="AB56" s="152"/>
      <c r="AC56" s="152"/>
      <c r="AD56" s="152"/>
      <c r="AE56" s="152"/>
      <c r="AF56" s="152"/>
      <c r="AG56" s="152"/>
      <c r="AH56" s="152"/>
      <c r="AI56" s="216"/>
      <c r="AJ56" s="217"/>
      <c r="AK56" s="218"/>
      <c r="AL56" s="146"/>
    </row>
    <row r="57" spans="1:38" s="147" customFormat="1" ht="24" customHeight="1" x14ac:dyDescent="0.3">
      <c r="A57" s="213">
        <f t="shared" si="12"/>
        <v>30</v>
      </c>
      <c r="B57" s="130" t="s">
        <v>264</v>
      </c>
      <c r="C57" s="59">
        <f t="shared" si="10"/>
        <v>2457487.06</v>
      </c>
      <c r="D57" s="59">
        <f t="shared" si="11"/>
        <v>2457487.06</v>
      </c>
      <c r="E57" s="129"/>
      <c r="F57" s="129"/>
      <c r="G57" s="129">
        <v>679308.05</v>
      </c>
      <c r="H57" s="129">
        <v>1778179.01</v>
      </c>
      <c r="I57" s="129"/>
      <c r="J57" s="118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52"/>
      <c r="Y57" s="152"/>
      <c r="Z57" s="215"/>
      <c r="AA57" s="152"/>
      <c r="AB57" s="152"/>
      <c r="AC57" s="152"/>
      <c r="AD57" s="152"/>
      <c r="AE57" s="152"/>
      <c r="AF57" s="152"/>
      <c r="AG57" s="152"/>
      <c r="AH57" s="152"/>
      <c r="AI57" s="216"/>
      <c r="AJ57" s="217"/>
      <c r="AK57" s="218"/>
      <c r="AL57" s="146"/>
    </row>
    <row r="58" spans="1:38" s="147" customFormat="1" ht="24" customHeight="1" x14ac:dyDescent="0.3">
      <c r="A58" s="213">
        <f t="shared" si="12"/>
        <v>31</v>
      </c>
      <c r="B58" s="130" t="s">
        <v>265</v>
      </c>
      <c r="C58" s="59">
        <f t="shared" si="10"/>
        <v>1129227.03</v>
      </c>
      <c r="D58" s="59">
        <f t="shared" si="11"/>
        <v>1129227.03</v>
      </c>
      <c r="E58" s="129"/>
      <c r="F58" s="129"/>
      <c r="G58" s="129">
        <v>487649.84</v>
      </c>
      <c r="H58" s="129">
        <v>641577.18999999994</v>
      </c>
      <c r="I58" s="129"/>
      <c r="J58" s="11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52"/>
      <c r="Y58" s="152"/>
      <c r="Z58" s="215"/>
      <c r="AA58" s="152"/>
      <c r="AB58" s="152"/>
      <c r="AC58" s="152"/>
      <c r="AD58" s="152"/>
      <c r="AE58" s="152"/>
      <c r="AF58" s="152"/>
      <c r="AG58" s="152"/>
      <c r="AH58" s="152"/>
      <c r="AI58" s="216"/>
      <c r="AJ58" s="217"/>
      <c r="AK58" s="218"/>
      <c r="AL58" s="146"/>
    </row>
    <row r="59" spans="1:38" s="147" customFormat="1" ht="24" customHeight="1" x14ac:dyDescent="0.3">
      <c r="A59" s="213">
        <f t="shared" si="12"/>
        <v>32</v>
      </c>
      <c r="B59" s="130" t="s">
        <v>266</v>
      </c>
      <c r="C59" s="59">
        <f t="shared" si="10"/>
        <v>1089272.1599999999</v>
      </c>
      <c r="D59" s="59">
        <f t="shared" si="11"/>
        <v>1089272.1599999999</v>
      </c>
      <c r="E59" s="129"/>
      <c r="F59" s="129"/>
      <c r="G59" s="129"/>
      <c r="H59" s="129">
        <v>1089272.1599999999</v>
      </c>
      <c r="I59" s="129"/>
      <c r="J59" s="118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52"/>
      <c r="Y59" s="152"/>
      <c r="Z59" s="215"/>
      <c r="AA59" s="152"/>
      <c r="AB59" s="152"/>
      <c r="AC59" s="152"/>
      <c r="AD59" s="152"/>
      <c r="AE59" s="152"/>
      <c r="AF59" s="152"/>
      <c r="AG59" s="152"/>
      <c r="AH59" s="152"/>
      <c r="AI59" s="216"/>
      <c r="AJ59" s="217"/>
      <c r="AK59" s="218"/>
      <c r="AL59" s="146"/>
    </row>
    <row r="60" spans="1:38" s="147" customFormat="1" ht="24" customHeight="1" x14ac:dyDescent="0.3">
      <c r="A60" s="213">
        <f t="shared" si="12"/>
        <v>33</v>
      </c>
      <c r="B60" s="130" t="s">
        <v>267</v>
      </c>
      <c r="C60" s="59">
        <f t="shared" si="10"/>
        <v>450987.97</v>
      </c>
      <c r="D60" s="59">
        <f t="shared" si="11"/>
        <v>450987.97</v>
      </c>
      <c r="E60" s="129"/>
      <c r="F60" s="129"/>
      <c r="G60" s="129"/>
      <c r="H60" s="129"/>
      <c r="I60" s="129">
        <v>450987.97</v>
      </c>
      <c r="J60" s="118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52"/>
      <c r="Y60" s="152"/>
      <c r="Z60" s="215"/>
      <c r="AA60" s="152"/>
      <c r="AB60" s="152"/>
      <c r="AC60" s="152"/>
      <c r="AD60" s="152"/>
      <c r="AE60" s="152"/>
      <c r="AF60" s="152"/>
      <c r="AG60" s="152"/>
      <c r="AH60" s="152"/>
      <c r="AI60" s="216"/>
      <c r="AJ60" s="217"/>
      <c r="AK60" s="218"/>
      <c r="AL60" s="146"/>
    </row>
    <row r="61" spans="1:38" s="147" customFormat="1" ht="24" customHeight="1" x14ac:dyDescent="0.3">
      <c r="A61" s="213">
        <f t="shared" si="12"/>
        <v>34</v>
      </c>
      <c r="B61" s="130" t="s">
        <v>268</v>
      </c>
      <c r="C61" s="59">
        <f t="shared" si="10"/>
        <v>284821.93</v>
      </c>
      <c r="D61" s="59">
        <f t="shared" si="11"/>
        <v>284821.93</v>
      </c>
      <c r="E61" s="129"/>
      <c r="F61" s="129"/>
      <c r="G61" s="129"/>
      <c r="H61" s="129"/>
      <c r="I61" s="129">
        <v>284821.93</v>
      </c>
      <c r="J61" s="118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52"/>
      <c r="Y61" s="152"/>
      <c r="Z61" s="215"/>
      <c r="AA61" s="152"/>
      <c r="AB61" s="152"/>
      <c r="AC61" s="152"/>
      <c r="AD61" s="152"/>
      <c r="AE61" s="152"/>
      <c r="AF61" s="152"/>
      <c r="AG61" s="152"/>
      <c r="AH61" s="152"/>
      <c r="AI61" s="216"/>
      <c r="AJ61" s="217"/>
      <c r="AK61" s="218"/>
      <c r="AL61" s="146"/>
    </row>
    <row r="62" spans="1:38" s="147" customFormat="1" ht="24" customHeight="1" x14ac:dyDescent="0.3">
      <c r="A62" s="213">
        <f t="shared" si="12"/>
        <v>35</v>
      </c>
      <c r="B62" s="130" t="s">
        <v>269</v>
      </c>
      <c r="C62" s="59">
        <f t="shared" si="10"/>
        <v>671687.24</v>
      </c>
      <c r="D62" s="59">
        <f t="shared" si="11"/>
        <v>671687.24</v>
      </c>
      <c r="E62" s="129"/>
      <c r="F62" s="129"/>
      <c r="G62" s="129"/>
      <c r="H62" s="129">
        <v>671687.24</v>
      </c>
      <c r="I62" s="129"/>
      <c r="J62" s="118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52"/>
      <c r="Y62" s="152"/>
      <c r="Z62" s="215"/>
      <c r="AA62" s="152"/>
      <c r="AB62" s="152"/>
      <c r="AC62" s="152"/>
      <c r="AD62" s="152"/>
      <c r="AE62" s="152"/>
      <c r="AF62" s="152"/>
      <c r="AG62" s="152"/>
      <c r="AH62" s="152"/>
      <c r="AI62" s="216"/>
      <c r="AJ62" s="217"/>
      <c r="AK62" s="218"/>
      <c r="AL62" s="146"/>
    </row>
    <row r="63" spans="1:38" s="147" customFormat="1" ht="24" customHeight="1" x14ac:dyDescent="0.3">
      <c r="A63" s="213">
        <f t="shared" si="12"/>
        <v>36</v>
      </c>
      <c r="B63" s="130" t="s">
        <v>270</v>
      </c>
      <c r="C63" s="59">
        <f t="shared" si="10"/>
        <v>775713.44</v>
      </c>
      <c r="D63" s="59">
        <f t="shared" si="11"/>
        <v>775713.44</v>
      </c>
      <c r="E63" s="129"/>
      <c r="F63" s="129">
        <v>775713.44</v>
      </c>
      <c r="G63" s="129"/>
      <c r="H63" s="129"/>
      <c r="I63" s="129"/>
      <c r="J63" s="118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52"/>
      <c r="Y63" s="152"/>
      <c r="Z63" s="215"/>
      <c r="AA63" s="152"/>
      <c r="AB63" s="152"/>
      <c r="AC63" s="152"/>
      <c r="AD63" s="152"/>
      <c r="AE63" s="152"/>
      <c r="AF63" s="152"/>
      <c r="AG63" s="152"/>
      <c r="AH63" s="152"/>
      <c r="AI63" s="216"/>
      <c r="AJ63" s="217"/>
      <c r="AK63" s="218"/>
      <c r="AL63" s="146"/>
    </row>
    <row r="64" spans="1:38" s="147" customFormat="1" ht="24" customHeight="1" x14ac:dyDescent="0.3">
      <c r="A64" s="213">
        <f t="shared" si="12"/>
        <v>37</v>
      </c>
      <c r="B64" s="130" t="s">
        <v>271</v>
      </c>
      <c r="C64" s="59">
        <f t="shared" si="10"/>
        <v>2293426.16</v>
      </c>
      <c r="D64" s="59">
        <f t="shared" si="11"/>
        <v>0</v>
      </c>
      <c r="E64" s="129"/>
      <c r="F64" s="129"/>
      <c r="G64" s="129"/>
      <c r="H64" s="129"/>
      <c r="I64" s="129"/>
      <c r="J64" s="118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>
        <v>2293426.16</v>
      </c>
      <c r="V64" s="129"/>
      <c r="W64" s="129"/>
      <c r="X64" s="152"/>
      <c r="Y64" s="152"/>
      <c r="Z64" s="215"/>
      <c r="AA64" s="152"/>
      <c r="AB64" s="152"/>
      <c r="AC64" s="152"/>
      <c r="AD64" s="152"/>
      <c r="AE64" s="152"/>
      <c r="AF64" s="152"/>
      <c r="AG64" s="152"/>
      <c r="AH64" s="152"/>
      <c r="AI64" s="216"/>
      <c r="AJ64" s="217"/>
      <c r="AK64" s="218"/>
      <c r="AL64" s="146"/>
    </row>
    <row r="65" spans="1:43" s="147" customFormat="1" ht="24" customHeight="1" x14ac:dyDescent="0.3">
      <c r="A65" s="213">
        <f t="shared" si="12"/>
        <v>38</v>
      </c>
      <c r="B65" s="130" t="s">
        <v>272</v>
      </c>
      <c r="C65" s="59">
        <f t="shared" si="10"/>
        <v>236053.04</v>
      </c>
      <c r="D65" s="59">
        <f t="shared" si="11"/>
        <v>236053.04</v>
      </c>
      <c r="E65" s="129"/>
      <c r="F65" s="129"/>
      <c r="G65" s="129"/>
      <c r="H65" s="129"/>
      <c r="I65" s="129">
        <v>236053.04</v>
      </c>
      <c r="J65" s="11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52"/>
      <c r="Y65" s="152"/>
      <c r="Z65" s="215"/>
      <c r="AA65" s="152"/>
      <c r="AB65" s="152"/>
      <c r="AC65" s="152"/>
      <c r="AD65" s="152"/>
      <c r="AE65" s="152"/>
      <c r="AF65" s="152"/>
      <c r="AG65" s="152"/>
      <c r="AH65" s="152"/>
      <c r="AI65" s="216"/>
      <c r="AJ65" s="217"/>
      <c r="AK65" s="218"/>
      <c r="AL65" s="146"/>
    </row>
    <row r="66" spans="1:43" s="147" customFormat="1" ht="24" customHeight="1" x14ac:dyDescent="0.3">
      <c r="A66" s="213">
        <f t="shared" si="12"/>
        <v>39</v>
      </c>
      <c r="B66" s="130" t="s">
        <v>273</v>
      </c>
      <c r="C66" s="59">
        <f t="shared" si="10"/>
        <v>788999.53</v>
      </c>
      <c r="D66" s="59">
        <f t="shared" si="11"/>
        <v>788999.53</v>
      </c>
      <c r="E66" s="129"/>
      <c r="F66" s="129"/>
      <c r="G66" s="129"/>
      <c r="H66" s="129">
        <v>788999.53</v>
      </c>
      <c r="I66" s="129"/>
      <c r="J66" s="118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52"/>
      <c r="Y66" s="152"/>
      <c r="Z66" s="215"/>
      <c r="AA66" s="152"/>
      <c r="AB66" s="152"/>
      <c r="AC66" s="152"/>
      <c r="AD66" s="152"/>
      <c r="AE66" s="152"/>
      <c r="AF66" s="152"/>
      <c r="AG66" s="152"/>
      <c r="AH66" s="152"/>
      <c r="AI66" s="216"/>
      <c r="AJ66" s="217"/>
      <c r="AK66" s="218"/>
      <c r="AL66" s="146"/>
    </row>
    <row r="67" spans="1:43" s="147" customFormat="1" ht="24" customHeight="1" x14ac:dyDescent="0.3">
      <c r="A67" s="213">
        <f t="shared" si="12"/>
        <v>40</v>
      </c>
      <c r="B67" s="130" t="s">
        <v>274</v>
      </c>
      <c r="C67" s="59">
        <f t="shared" si="10"/>
        <v>726414.17</v>
      </c>
      <c r="D67" s="59">
        <f t="shared" si="11"/>
        <v>726414.17</v>
      </c>
      <c r="E67" s="129"/>
      <c r="F67" s="129"/>
      <c r="G67" s="129"/>
      <c r="H67" s="129">
        <v>726414.17</v>
      </c>
      <c r="I67" s="129"/>
      <c r="J67" s="118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52"/>
      <c r="Y67" s="152"/>
      <c r="Z67" s="215"/>
      <c r="AA67" s="152"/>
      <c r="AB67" s="152"/>
      <c r="AC67" s="152"/>
      <c r="AD67" s="152"/>
      <c r="AE67" s="152"/>
      <c r="AF67" s="152"/>
      <c r="AG67" s="152"/>
      <c r="AH67" s="152"/>
      <c r="AI67" s="216"/>
      <c r="AJ67" s="217"/>
      <c r="AK67" s="218"/>
      <c r="AL67" s="146"/>
    </row>
    <row r="68" spans="1:43" s="147" customFormat="1" ht="24" customHeight="1" x14ac:dyDescent="0.3">
      <c r="A68" s="213">
        <f t="shared" si="12"/>
        <v>41</v>
      </c>
      <c r="B68" s="130" t="s">
        <v>275</v>
      </c>
      <c r="C68" s="59">
        <f t="shared" si="10"/>
        <v>705762</v>
      </c>
      <c r="D68" s="59">
        <f t="shared" si="11"/>
        <v>705762</v>
      </c>
      <c r="E68" s="129"/>
      <c r="F68" s="129"/>
      <c r="G68" s="129">
        <v>276030</v>
      </c>
      <c r="H68" s="129">
        <v>429732</v>
      </c>
      <c r="I68" s="129"/>
      <c r="J68" s="118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52"/>
      <c r="Y68" s="152"/>
      <c r="Z68" s="215"/>
      <c r="AA68" s="152"/>
      <c r="AB68" s="152"/>
      <c r="AC68" s="152"/>
      <c r="AD68" s="152"/>
      <c r="AE68" s="152"/>
      <c r="AF68" s="152"/>
      <c r="AG68" s="152"/>
      <c r="AH68" s="152"/>
      <c r="AI68" s="216"/>
      <c r="AJ68" s="217"/>
      <c r="AK68" s="218"/>
      <c r="AL68" s="146"/>
    </row>
    <row r="69" spans="1:43" s="147" customFormat="1" ht="24" customHeight="1" x14ac:dyDescent="0.3">
      <c r="A69" s="213">
        <f t="shared" si="12"/>
        <v>42</v>
      </c>
      <c r="B69" s="130" t="s">
        <v>276</v>
      </c>
      <c r="C69" s="59">
        <f t="shared" si="10"/>
        <v>351550.49</v>
      </c>
      <c r="D69" s="59">
        <f t="shared" si="11"/>
        <v>351550.49</v>
      </c>
      <c r="E69" s="129"/>
      <c r="F69" s="129"/>
      <c r="G69" s="129"/>
      <c r="H69" s="129">
        <v>351550.49</v>
      </c>
      <c r="I69" s="129"/>
      <c r="J69" s="118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52"/>
      <c r="Y69" s="152"/>
      <c r="Z69" s="215"/>
      <c r="AA69" s="152"/>
      <c r="AB69" s="152"/>
      <c r="AC69" s="152"/>
      <c r="AD69" s="152"/>
      <c r="AE69" s="152"/>
      <c r="AF69" s="152"/>
      <c r="AG69" s="152"/>
      <c r="AH69" s="152"/>
      <c r="AI69" s="216"/>
      <c r="AJ69" s="217"/>
      <c r="AK69" s="218"/>
      <c r="AL69" s="146"/>
    </row>
    <row r="70" spans="1:43" s="147" customFormat="1" ht="24" customHeight="1" x14ac:dyDescent="0.3">
      <c r="A70" s="213">
        <f t="shared" si="12"/>
        <v>43</v>
      </c>
      <c r="B70" s="130" t="s">
        <v>277</v>
      </c>
      <c r="C70" s="59">
        <f t="shared" si="10"/>
        <v>944968.8</v>
      </c>
      <c r="D70" s="59">
        <f t="shared" si="11"/>
        <v>944968.8</v>
      </c>
      <c r="E70" s="129"/>
      <c r="F70" s="129"/>
      <c r="G70" s="129"/>
      <c r="H70" s="129">
        <v>944968.8</v>
      </c>
      <c r="I70" s="129"/>
      <c r="J70" s="118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52"/>
      <c r="Y70" s="152"/>
      <c r="Z70" s="215"/>
      <c r="AA70" s="152"/>
      <c r="AB70" s="152"/>
      <c r="AC70" s="152"/>
      <c r="AD70" s="152"/>
      <c r="AE70" s="152"/>
      <c r="AF70" s="152"/>
      <c r="AG70" s="152"/>
      <c r="AH70" s="152"/>
      <c r="AI70" s="216"/>
      <c r="AJ70" s="217"/>
      <c r="AK70" s="218"/>
      <c r="AL70" s="146"/>
    </row>
    <row r="71" spans="1:43" s="147" customFormat="1" ht="24" customHeight="1" x14ac:dyDescent="0.3">
      <c r="A71" s="213">
        <f t="shared" si="12"/>
        <v>44</v>
      </c>
      <c r="B71" s="130" t="s">
        <v>278</v>
      </c>
      <c r="C71" s="59">
        <f t="shared" si="10"/>
        <v>1030858.62</v>
      </c>
      <c r="D71" s="59">
        <f t="shared" si="11"/>
        <v>1030858.62</v>
      </c>
      <c r="E71" s="129"/>
      <c r="F71" s="129">
        <v>1030858.62</v>
      </c>
      <c r="G71" s="129"/>
      <c r="H71" s="129"/>
      <c r="I71" s="129"/>
      <c r="J71" s="118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52"/>
      <c r="Y71" s="152"/>
      <c r="Z71" s="215"/>
      <c r="AA71" s="152"/>
      <c r="AB71" s="152"/>
      <c r="AC71" s="152"/>
      <c r="AD71" s="152"/>
      <c r="AE71" s="152"/>
      <c r="AF71" s="152"/>
      <c r="AG71" s="152"/>
      <c r="AH71" s="152"/>
      <c r="AI71" s="216"/>
      <c r="AJ71" s="217"/>
      <c r="AK71" s="218"/>
      <c r="AL71" s="146"/>
    </row>
    <row r="72" spans="1:43" s="147" customFormat="1" x14ac:dyDescent="0.3">
      <c r="A72" s="203" t="s">
        <v>35</v>
      </c>
      <c r="B72" s="203"/>
      <c r="C72" s="201">
        <f>SUM(C32:C71)</f>
        <v>43520040.07</v>
      </c>
      <c r="D72" s="201">
        <f t="shared" ref="D72:W72" si="13">SUM(D32:D71)</f>
        <v>33383159.140000001</v>
      </c>
      <c r="E72" s="201">
        <f t="shared" si="13"/>
        <v>2721744.67</v>
      </c>
      <c r="F72" s="201">
        <f t="shared" si="13"/>
        <v>12624570.849999998</v>
      </c>
      <c r="G72" s="201">
        <f t="shared" si="13"/>
        <v>2121444.4800000004</v>
      </c>
      <c r="H72" s="201">
        <f t="shared" si="13"/>
        <v>14735220.27</v>
      </c>
      <c r="I72" s="201">
        <f t="shared" si="13"/>
        <v>1180178.8699999999</v>
      </c>
      <c r="J72" s="201">
        <f t="shared" si="13"/>
        <v>0</v>
      </c>
      <c r="K72" s="201">
        <f t="shared" si="13"/>
        <v>0</v>
      </c>
      <c r="L72" s="201">
        <f t="shared" si="13"/>
        <v>0</v>
      </c>
      <c r="M72" s="201">
        <f t="shared" si="13"/>
        <v>0</v>
      </c>
      <c r="N72" s="201">
        <f t="shared" si="13"/>
        <v>3949435.54</v>
      </c>
      <c r="O72" s="201">
        <f t="shared" si="13"/>
        <v>0</v>
      </c>
      <c r="P72" s="201">
        <f t="shared" si="13"/>
        <v>0</v>
      </c>
      <c r="Q72" s="201">
        <f t="shared" si="13"/>
        <v>0</v>
      </c>
      <c r="R72" s="201">
        <f t="shared" si="13"/>
        <v>1493606.71</v>
      </c>
      <c r="S72" s="201">
        <f t="shared" si="13"/>
        <v>0</v>
      </c>
      <c r="T72" s="201">
        <f t="shared" si="13"/>
        <v>0</v>
      </c>
      <c r="U72" s="201">
        <f t="shared" si="13"/>
        <v>4693838.68</v>
      </c>
      <c r="V72" s="201">
        <f t="shared" si="13"/>
        <v>0</v>
      </c>
      <c r="W72" s="201">
        <f t="shared" si="13"/>
        <v>0</v>
      </c>
      <c r="X72" s="152">
        <f>C72-D72-K72-L72-N72-P72-R72-S72-U72-V72-W72</f>
        <v>0</v>
      </c>
      <c r="Y72" s="152"/>
      <c r="Z72" s="204"/>
      <c r="AA72" s="152"/>
      <c r="AB72" s="152"/>
      <c r="AC72" s="152"/>
      <c r="AD72" s="152"/>
      <c r="AE72" s="19"/>
      <c r="AF72" s="19"/>
      <c r="AG72" s="149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</row>
    <row r="73" spans="1:43" s="147" customFormat="1" x14ac:dyDescent="0.3">
      <c r="A73" s="351" t="s">
        <v>288</v>
      </c>
      <c r="B73" s="352"/>
      <c r="C73" s="104">
        <f>C72</f>
        <v>43520040.07</v>
      </c>
      <c r="D73" s="104">
        <f t="shared" ref="D73:W73" si="14">D72</f>
        <v>33383159.140000001</v>
      </c>
      <c r="E73" s="104">
        <f t="shared" si="14"/>
        <v>2721744.67</v>
      </c>
      <c r="F73" s="104">
        <f t="shared" si="14"/>
        <v>12624570.849999998</v>
      </c>
      <c r="G73" s="104">
        <f t="shared" si="14"/>
        <v>2121444.4800000004</v>
      </c>
      <c r="H73" s="104">
        <f t="shared" si="14"/>
        <v>14735220.27</v>
      </c>
      <c r="I73" s="104">
        <f t="shared" si="14"/>
        <v>1180178.8699999999</v>
      </c>
      <c r="J73" s="104">
        <f t="shared" si="14"/>
        <v>0</v>
      </c>
      <c r="K73" s="104">
        <f t="shared" si="14"/>
        <v>0</v>
      </c>
      <c r="L73" s="104">
        <f t="shared" si="14"/>
        <v>0</v>
      </c>
      <c r="M73" s="104">
        <f t="shared" si="14"/>
        <v>0</v>
      </c>
      <c r="N73" s="104">
        <f t="shared" si="14"/>
        <v>3949435.54</v>
      </c>
      <c r="O73" s="104">
        <f t="shared" si="14"/>
        <v>0</v>
      </c>
      <c r="P73" s="104">
        <f t="shared" si="14"/>
        <v>0</v>
      </c>
      <c r="Q73" s="104">
        <f t="shared" si="14"/>
        <v>0</v>
      </c>
      <c r="R73" s="104">
        <f t="shared" si="14"/>
        <v>1493606.71</v>
      </c>
      <c r="S73" s="104">
        <f t="shared" si="14"/>
        <v>0</v>
      </c>
      <c r="T73" s="104">
        <f t="shared" si="14"/>
        <v>0</v>
      </c>
      <c r="U73" s="104">
        <f t="shared" si="14"/>
        <v>4693838.68</v>
      </c>
      <c r="V73" s="104">
        <f t="shared" si="14"/>
        <v>0</v>
      </c>
      <c r="W73" s="104">
        <f t="shared" si="14"/>
        <v>0</v>
      </c>
      <c r="X73" s="152"/>
      <c r="Y73" s="152"/>
      <c r="Z73" s="204"/>
      <c r="AA73" s="152"/>
      <c r="AB73" s="152"/>
      <c r="AC73" s="152"/>
      <c r="AD73" s="152"/>
      <c r="AE73" s="19"/>
      <c r="AF73" s="19"/>
      <c r="AG73" s="149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</row>
    <row r="74" spans="1:43" s="147" customFormat="1" ht="21.75" customHeight="1" x14ac:dyDescent="0.3">
      <c r="A74" s="203"/>
      <c r="B74" s="219" t="s">
        <v>87</v>
      </c>
      <c r="C74" s="205">
        <f t="shared" ref="C74:W74" si="15">C73+C29+C19+C24+C14</f>
        <v>54935165.090000004</v>
      </c>
      <c r="D74" s="205">
        <f t="shared" si="15"/>
        <v>36198738.340000004</v>
      </c>
      <c r="E74" s="205">
        <f t="shared" si="15"/>
        <v>5537323.8700000001</v>
      </c>
      <c r="F74" s="205">
        <f t="shared" si="15"/>
        <v>12624570.849999998</v>
      </c>
      <c r="G74" s="205">
        <f t="shared" si="15"/>
        <v>2121444.4800000004</v>
      </c>
      <c r="H74" s="205">
        <f t="shared" si="15"/>
        <v>14735220.27</v>
      </c>
      <c r="I74" s="205">
        <f t="shared" si="15"/>
        <v>1180178.8699999999</v>
      </c>
      <c r="J74" s="220">
        <f t="shared" si="15"/>
        <v>2</v>
      </c>
      <c r="K74" s="205">
        <f t="shared" si="15"/>
        <v>7346346</v>
      </c>
      <c r="L74" s="205">
        <f t="shared" si="15"/>
        <v>146926.92000000001</v>
      </c>
      <c r="M74" s="205">
        <f t="shared" si="15"/>
        <v>13</v>
      </c>
      <c r="N74" s="205">
        <f t="shared" si="15"/>
        <v>4030594.54</v>
      </c>
      <c r="O74" s="205">
        <f t="shared" si="15"/>
        <v>0</v>
      </c>
      <c r="P74" s="205">
        <f t="shared" si="15"/>
        <v>0</v>
      </c>
      <c r="Q74" s="205">
        <f t="shared" si="15"/>
        <v>0</v>
      </c>
      <c r="R74" s="205">
        <f t="shared" si="15"/>
        <v>1493606.71</v>
      </c>
      <c r="S74" s="205">
        <f t="shared" si="15"/>
        <v>0</v>
      </c>
      <c r="T74" s="205">
        <f t="shared" si="15"/>
        <v>0</v>
      </c>
      <c r="U74" s="205">
        <f t="shared" si="15"/>
        <v>4693838.68</v>
      </c>
      <c r="V74" s="205">
        <f t="shared" si="15"/>
        <v>0</v>
      </c>
      <c r="W74" s="205">
        <f t="shared" si="15"/>
        <v>1025113.9</v>
      </c>
      <c r="X74" s="152">
        <f>C74-D74-K74-L74-N74-P74-R74-S74-U74-V74-W74</f>
        <v>0</v>
      </c>
      <c r="Y74" s="152"/>
      <c r="Z74" s="215"/>
      <c r="AA74" s="201"/>
      <c r="AB74" s="201"/>
      <c r="AC74" s="201"/>
      <c r="AD74" s="201"/>
      <c r="AE74" s="201"/>
      <c r="AF74" s="201"/>
      <c r="AG74" s="201"/>
      <c r="AH74" s="201"/>
      <c r="AI74" s="221"/>
      <c r="AJ74" s="222"/>
      <c r="AK74" s="223"/>
      <c r="AL74" s="146"/>
    </row>
    <row r="75" spans="1:43" s="147" customFormat="1" x14ac:dyDescent="0.3">
      <c r="A75" s="224"/>
      <c r="B75" s="225" t="s">
        <v>138</v>
      </c>
      <c r="C75" s="98">
        <f>(C74-W74-L74)*0.0214</f>
        <v>1150530.859378</v>
      </c>
      <c r="D75" s="35"/>
      <c r="E75" s="35"/>
      <c r="F75" s="35"/>
      <c r="G75" s="35"/>
      <c r="H75" s="35"/>
      <c r="I75" s="35"/>
      <c r="J75" s="27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152">
        <f>C75-D75-K75-L75-N75-P75-R75-S75-U75-V75-W75</f>
        <v>1150530.859378</v>
      </c>
      <c r="Y75" s="19"/>
    </row>
    <row r="76" spans="1:43" s="147" customFormat="1" ht="31.2" x14ac:dyDescent="0.3">
      <c r="A76" s="224"/>
      <c r="B76" s="226" t="s">
        <v>139</v>
      </c>
      <c r="C76" s="98">
        <f>C74+C75</f>
        <v>56085695.949378006</v>
      </c>
      <c r="D76" s="35"/>
      <c r="E76" s="35"/>
      <c r="F76" s="35"/>
      <c r="G76" s="35"/>
      <c r="H76" s="35"/>
      <c r="I76" s="35"/>
      <c r="J76" s="27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152">
        <f>C76-D76-K76-L76-N76-P76-R76-S76-U76-V76-W76</f>
        <v>56085695.949378006</v>
      </c>
      <c r="Y76" s="19"/>
    </row>
    <row r="77" spans="1:43" s="147" customFormat="1" x14ac:dyDescent="0.3">
      <c r="A77" s="227"/>
      <c r="B77" s="228"/>
      <c r="C77" s="19"/>
      <c r="D77" s="19"/>
      <c r="E77" s="19"/>
      <c r="F77" s="19"/>
      <c r="G77" s="19"/>
      <c r="H77" s="19"/>
      <c r="I77" s="19"/>
      <c r="J77" s="1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52">
        <f>C77-D77-K77-L77-N77-P77-R77-S77-U77-V77-W77</f>
        <v>0</v>
      </c>
      <c r="Y77" s="19"/>
    </row>
    <row r="78" spans="1:43" s="147" customFormat="1" x14ac:dyDescent="0.3">
      <c r="A78" s="227"/>
      <c r="B78" s="228"/>
      <c r="C78" s="19"/>
      <c r="D78" s="19"/>
      <c r="E78" s="19"/>
      <c r="F78" s="19"/>
      <c r="G78" s="19"/>
      <c r="H78" s="19"/>
      <c r="I78" s="19"/>
      <c r="J78" s="1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43" s="147" customFormat="1" x14ac:dyDescent="0.3">
      <c r="A79" s="227"/>
      <c r="B79" s="228"/>
      <c r="C79" s="12"/>
      <c r="D79" s="12"/>
      <c r="E79" s="12"/>
      <c r="F79" s="12"/>
      <c r="G79" s="12"/>
      <c r="H79" s="19"/>
      <c r="I79" s="12"/>
      <c r="J79" s="17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43" s="147" customFormat="1" x14ac:dyDescent="0.3">
      <c r="A80" s="227"/>
      <c r="B80" s="228"/>
      <c r="C80" s="12"/>
      <c r="D80" s="12"/>
      <c r="E80" s="12"/>
      <c r="F80" s="12"/>
      <c r="G80" s="12"/>
      <c r="H80" s="12"/>
      <c r="I80" s="12"/>
      <c r="J80" s="1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s="147" customFormat="1" x14ac:dyDescent="0.3">
      <c r="A81" s="227"/>
      <c r="B81" s="228"/>
      <c r="C81" s="19"/>
      <c r="D81" s="12"/>
      <c r="E81" s="12"/>
      <c r="F81" s="12"/>
      <c r="G81" s="12"/>
      <c r="H81" s="12"/>
      <c r="I81" s="12"/>
      <c r="J81" s="1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147" customFormat="1" x14ac:dyDescent="0.3">
      <c r="A82" s="227"/>
      <c r="B82" s="228"/>
      <c r="C82" s="12"/>
      <c r="D82" s="12"/>
      <c r="E82" s="12"/>
      <c r="F82" s="19"/>
      <c r="G82" s="12"/>
      <c r="H82" s="12"/>
      <c r="I82" s="12"/>
      <c r="J82" s="1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s="147" customFormat="1" x14ac:dyDescent="0.3">
      <c r="A83" s="227"/>
      <c r="B83" s="228"/>
      <c r="C83" s="12"/>
      <c r="D83" s="12"/>
      <c r="E83" s="12"/>
      <c r="F83" s="12"/>
      <c r="G83" s="12"/>
      <c r="H83" s="12"/>
      <c r="I83" s="12"/>
      <c r="J83" s="17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147" customFormat="1" x14ac:dyDescent="0.3">
      <c r="A84" s="227"/>
      <c r="B84" s="228"/>
      <c r="C84" s="12"/>
      <c r="D84" s="12"/>
      <c r="E84" s="12"/>
      <c r="F84" s="12"/>
      <c r="G84" s="12"/>
      <c r="H84" s="12"/>
      <c r="I84" s="12"/>
      <c r="J84" s="1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s="147" customFormat="1" x14ac:dyDescent="0.3">
      <c r="A85" s="227"/>
      <c r="B85" s="228"/>
      <c r="C85" s="12"/>
      <c r="D85" s="12"/>
      <c r="E85" s="12"/>
      <c r="F85" s="12"/>
      <c r="G85" s="12"/>
      <c r="H85" s="12"/>
      <c r="I85" s="12"/>
      <c r="J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s="147" customFormat="1" x14ac:dyDescent="0.3">
      <c r="A86" s="227"/>
      <c r="B86" s="228"/>
      <c r="C86" s="12"/>
      <c r="D86" s="12"/>
      <c r="E86" s="12"/>
      <c r="F86" s="12"/>
      <c r="G86" s="12"/>
      <c r="H86" s="12"/>
      <c r="I86" s="12"/>
      <c r="J86" s="17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s="147" customFormat="1" x14ac:dyDescent="0.3">
      <c r="A87" s="227"/>
      <c r="B87" s="228"/>
      <c r="C87" s="12"/>
      <c r="D87" s="12"/>
      <c r="E87" s="12"/>
      <c r="F87" s="12"/>
      <c r="G87" s="12"/>
      <c r="H87" s="12"/>
      <c r="I87" s="12"/>
      <c r="J87" s="17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147" customFormat="1" x14ac:dyDescent="0.3">
      <c r="A88" s="227"/>
      <c r="B88" s="228"/>
      <c r="C88" s="12"/>
      <c r="D88" s="12"/>
      <c r="E88" s="12"/>
      <c r="F88" s="12"/>
      <c r="G88" s="12"/>
      <c r="H88" s="12"/>
      <c r="I88" s="12"/>
      <c r="J88" s="17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s="147" customFormat="1" x14ac:dyDescent="0.3">
      <c r="A89" s="227"/>
      <c r="B89" s="228"/>
      <c r="C89" s="12"/>
      <c r="D89" s="12"/>
      <c r="E89" s="12"/>
      <c r="F89" s="12"/>
      <c r="G89" s="12"/>
      <c r="H89" s="12"/>
      <c r="I89" s="12"/>
      <c r="J89" s="1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147" customFormat="1" x14ac:dyDescent="0.3">
      <c r="A90" s="227"/>
      <c r="B90" s="228"/>
      <c r="C90" s="12"/>
      <c r="D90" s="12"/>
      <c r="E90" s="12"/>
      <c r="F90" s="12"/>
      <c r="G90" s="12"/>
      <c r="H90" s="12"/>
      <c r="I90" s="12"/>
      <c r="J90" s="17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s="147" customFormat="1" x14ac:dyDescent="0.3">
      <c r="A91" s="227"/>
      <c r="B91" s="228"/>
      <c r="C91" s="12"/>
      <c r="D91" s="12"/>
      <c r="E91" s="12"/>
      <c r="F91" s="12"/>
      <c r="G91" s="12"/>
      <c r="H91" s="12"/>
      <c r="I91" s="12"/>
      <c r="J91" s="17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s="147" customFormat="1" x14ac:dyDescent="0.3">
      <c r="A92" s="227"/>
      <c r="B92" s="228"/>
      <c r="C92" s="12"/>
      <c r="D92" s="12"/>
      <c r="E92" s="12"/>
      <c r="F92" s="12"/>
      <c r="G92" s="12"/>
      <c r="H92" s="12"/>
      <c r="I92" s="12"/>
      <c r="J92" s="17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</sheetData>
  <autoFilter ref="A8:AQ77"/>
  <mergeCells count="36">
    <mergeCell ref="A25:W25"/>
    <mergeCell ref="A29:B29"/>
    <mergeCell ref="W4:W7"/>
    <mergeCell ref="A15:W15"/>
    <mergeCell ref="A20:W20"/>
    <mergeCell ref="A10:W10"/>
    <mergeCell ref="A14:B14"/>
    <mergeCell ref="A19:B19"/>
    <mergeCell ref="A1:W1"/>
    <mergeCell ref="F5:F7"/>
    <mergeCell ref="G5:G7"/>
    <mergeCell ref="I5:I7"/>
    <mergeCell ref="H5:H7"/>
    <mergeCell ref="D3:W3"/>
    <mergeCell ref="B3:B7"/>
    <mergeCell ref="A3:A7"/>
    <mergeCell ref="E5:E7"/>
    <mergeCell ref="J5:J7"/>
    <mergeCell ref="K5:K7"/>
    <mergeCell ref="S4:S7"/>
    <mergeCell ref="A73:B73"/>
    <mergeCell ref="A30:W30"/>
    <mergeCell ref="AF2:AH2"/>
    <mergeCell ref="C3:C6"/>
    <mergeCell ref="D4:I4"/>
    <mergeCell ref="J4:L4"/>
    <mergeCell ref="M4:N7"/>
    <mergeCell ref="O4:P7"/>
    <mergeCell ref="Q4:R7"/>
    <mergeCell ref="T4:U7"/>
    <mergeCell ref="V4:V7"/>
    <mergeCell ref="AF4:AF8"/>
    <mergeCell ref="AG4:AG8"/>
    <mergeCell ref="AH4:AH8"/>
    <mergeCell ref="D5:D7"/>
    <mergeCell ref="L5:L7"/>
  </mergeCells>
  <conditionalFormatting sqref="B33">
    <cfRule type="duplicateValues" dxfId="5" priority="1"/>
  </conditionalFormatting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</oddFooter>
  </headerFooter>
  <rowBreaks count="1" manualBreakCount="1">
    <brk id="58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"/>
  <sheetViews>
    <sheetView tabSelected="1" view="pageBreakPreview" zoomScale="70" zoomScaleNormal="70" zoomScaleSheetLayoutView="70" workbookViewId="0">
      <pane xSplit="3" ySplit="8" topLeftCell="O9" activePane="bottomRight" state="frozen"/>
      <selection pane="topRight" activeCell="D1" sqref="D1"/>
      <selection pane="bottomLeft" activeCell="A9" sqref="A9"/>
      <selection pane="bottomRight" activeCell="B110" sqref="B110"/>
    </sheetView>
  </sheetViews>
  <sheetFormatPr defaultColWidth="9.109375" defaultRowHeight="15.6" x14ac:dyDescent="0.3"/>
  <cols>
    <col min="1" max="1" width="7.33203125" style="312" customWidth="1"/>
    <col min="2" max="2" width="54.33203125" style="248" customWidth="1"/>
    <col min="3" max="3" width="20.44140625" style="19" customWidth="1"/>
    <col min="4" max="4" width="19.109375" style="19" customWidth="1"/>
    <col min="5" max="5" width="17.88671875" style="19" customWidth="1"/>
    <col min="6" max="6" width="18" style="19" customWidth="1"/>
    <col min="7" max="7" width="19" style="19" customWidth="1"/>
    <col min="8" max="8" width="16.5546875" style="19" customWidth="1"/>
    <col min="9" max="9" width="19.6640625" style="19" bestFit="1" customWidth="1"/>
    <col min="10" max="10" width="8.44140625" style="19" customWidth="1"/>
    <col min="11" max="11" width="19.88671875" style="19" customWidth="1"/>
    <col min="12" max="12" width="14.5546875" style="19" customWidth="1"/>
    <col min="13" max="13" width="12.5546875" style="19" bestFit="1" customWidth="1"/>
    <col min="14" max="14" width="19.109375" style="19" customWidth="1"/>
    <col min="15" max="15" width="11.88671875" style="19" customWidth="1"/>
    <col min="16" max="16" width="18.6640625" style="19" customWidth="1"/>
    <col min="17" max="17" width="13" style="19" bestFit="1" customWidth="1"/>
    <col min="18" max="18" width="19.5546875" style="19" customWidth="1"/>
    <col min="19" max="19" width="16.109375" style="19" customWidth="1"/>
    <col min="20" max="20" width="11.6640625" style="19" bestFit="1" customWidth="1"/>
    <col min="21" max="21" width="17.5546875" style="19" bestFit="1" customWidth="1"/>
    <col min="22" max="22" width="16.33203125" style="19" customWidth="1"/>
    <col min="23" max="23" width="19.6640625" style="19" customWidth="1"/>
    <col min="24" max="24" width="19.6640625" style="19" hidden="1" customWidth="1"/>
    <col min="25" max="26" width="14.44140625" style="229" hidden="1" customWidth="1"/>
    <col min="27" max="27" width="16.88671875" style="229" hidden="1" customWidth="1"/>
    <col min="28" max="31" width="14.44140625" style="229" hidden="1" customWidth="1"/>
    <col min="32" max="32" width="16.88671875" style="229" hidden="1" customWidth="1"/>
    <col min="33" max="35" width="14.44140625" style="229" hidden="1" customWidth="1"/>
    <col min="36" max="36" width="12.5546875" style="229" customWidth="1"/>
    <col min="37" max="39" width="9.109375" style="229" customWidth="1"/>
    <col min="40" max="40" width="9.33203125" style="229" customWidth="1"/>
    <col min="41" max="47" width="9.109375" style="229" customWidth="1"/>
    <col min="48" max="16384" width="9.109375" style="229"/>
  </cols>
  <sheetData>
    <row r="1" spans="1:35" x14ac:dyDescent="0.3">
      <c r="A1" s="399" t="s">
        <v>306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145"/>
      <c r="Y1" s="145"/>
      <c r="Z1" s="145"/>
      <c r="AA1" s="145"/>
      <c r="AB1" s="145"/>
      <c r="AC1" s="146"/>
      <c r="AD1" s="146"/>
      <c r="AE1" s="146"/>
      <c r="AF1" s="146"/>
      <c r="AG1" s="146"/>
    </row>
    <row r="2" spans="1:35" x14ac:dyDescent="0.3">
      <c r="A2" s="230"/>
      <c r="B2" s="149"/>
      <c r="Y2" s="19"/>
      <c r="Z2" s="19"/>
      <c r="AA2" s="149"/>
      <c r="AB2" s="146"/>
      <c r="AC2" s="146"/>
      <c r="AD2" s="146"/>
      <c r="AE2" s="383" t="s">
        <v>0</v>
      </c>
      <c r="AF2" s="383"/>
      <c r="AG2" s="383"/>
    </row>
    <row r="3" spans="1:35" ht="46.8" x14ac:dyDescent="0.3">
      <c r="A3" s="231" t="s">
        <v>1</v>
      </c>
      <c r="B3" s="232" t="s">
        <v>2</v>
      </c>
      <c r="C3" s="233" t="s">
        <v>3</v>
      </c>
      <c r="D3" s="234" t="s">
        <v>4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152"/>
      <c r="Y3" s="152"/>
      <c r="Z3" s="153"/>
      <c r="AA3" s="149"/>
      <c r="AB3" s="146"/>
      <c r="AC3" s="146"/>
      <c r="AD3" s="146"/>
      <c r="AE3" s="146"/>
      <c r="AF3" s="146"/>
      <c r="AG3" s="146"/>
    </row>
    <row r="4" spans="1:35" ht="15" customHeight="1" x14ac:dyDescent="0.3">
      <c r="A4" s="236"/>
      <c r="B4" s="237"/>
      <c r="C4" s="156"/>
      <c r="D4" s="448" t="s">
        <v>5</v>
      </c>
      <c r="E4" s="449"/>
      <c r="F4" s="449"/>
      <c r="G4" s="449"/>
      <c r="H4" s="449"/>
      <c r="I4" s="450"/>
      <c r="J4" s="448" t="s">
        <v>6</v>
      </c>
      <c r="K4" s="449"/>
      <c r="L4" s="450"/>
      <c r="M4" s="451" t="s">
        <v>7</v>
      </c>
      <c r="N4" s="452"/>
      <c r="O4" s="451" t="s">
        <v>8</v>
      </c>
      <c r="P4" s="452"/>
      <c r="Q4" s="451" t="s">
        <v>9</v>
      </c>
      <c r="R4" s="452"/>
      <c r="S4" s="238"/>
      <c r="T4" s="451" t="s">
        <v>10</v>
      </c>
      <c r="U4" s="452"/>
      <c r="V4" s="384" t="s">
        <v>11</v>
      </c>
      <c r="W4" s="384" t="s">
        <v>12</v>
      </c>
      <c r="X4" s="239"/>
      <c r="Y4" s="155"/>
      <c r="Z4" s="155"/>
      <c r="AA4" s="155"/>
      <c r="AB4" s="155"/>
      <c r="AC4" s="155"/>
      <c r="AD4" s="155"/>
      <c r="AE4" s="155"/>
      <c r="AF4" s="398" t="s">
        <v>13</v>
      </c>
      <c r="AG4" s="398" t="s">
        <v>14</v>
      </c>
      <c r="AH4" s="426" t="s">
        <v>15</v>
      </c>
      <c r="AI4" s="423" t="s">
        <v>141</v>
      </c>
    </row>
    <row r="5" spans="1:35" ht="15" customHeight="1" x14ac:dyDescent="0.3">
      <c r="A5" s="236"/>
      <c r="B5" s="237"/>
      <c r="C5" s="156"/>
      <c r="D5" s="384" t="s">
        <v>16</v>
      </c>
      <c r="E5" s="384" t="s">
        <v>17</v>
      </c>
      <c r="F5" s="384" t="s">
        <v>18</v>
      </c>
      <c r="G5" s="384" t="s">
        <v>19</v>
      </c>
      <c r="H5" s="384" t="s">
        <v>20</v>
      </c>
      <c r="I5" s="384" t="s">
        <v>21</v>
      </c>
      <c r="J5" s="384"/>
      <c r="K5" s="384" t="s">
        <v>22</v>
      </c>
      <c r="L5" s="384" t="s">
        <v>23</v>
      </c>
      <c r="M5" s="453"/>
      <c r="N5" s="454"/>
      <c r="O5" s="453"/>
      <c r="P5" s="454"/>
      <c r="Q5" s="453"/>
      <c r="R5" s="454"/>
      <c r="S5" s="215"/>
      <c r="T5" s="453"/>
      <c r="U5" s="454"/>
      <c r="V5" s="385"/>
      <c r="W5" s="385"/>
      <c r="X5" s="156"/>
      <c r="Y5" s="155"/>
      <c r="Z5" s="155"/>
      <c r="AA5" s="155"/>
      <c r="AB5" s="155"/>
      <c r="AC5" s="155"/>
      <c r="AD5" s="155"/>
      <c r="AE5" s="155"/>
      <c r="AF5" s="398"/>
      <c r="AG5" s="398"/>
      <c r="AH5" s="426"/>
      <c r="AI5" s="424"/>
    </row>
    <row r="6" spans="1:35" x14ac:dyDescent="0.3">
      <c r="A6" s="236"/>
      <c r="B6" s="237"/>
      <c r="C6" s="156"/>
      <c r="D6" s="385"/>
      <c r="E6" s="385"/>
      <c r="F6" s="385"/>
      <c r="G6" s="385"/>
      <c r="H6" s="385"/>
      <c r="I6" s="385"/>
      <c r="J6" s="385"/>
      <c r="K6" s="385"/>
      <c r="L6" s="385"/>
      <c r="M6" s="453"/>
      <c r="N6" s="454"/>
      <c r="O6" s="453"/>
      <c r="P6" s="454"/>
      <c r="Q6" s="453"/>
      <c r="R6" s="454"/>
      <c r="S6" s="215" t="s">
        <v>24</v>
      </c>
      <c r="T6" s="453"/>
      <c r="U6" s="454"/>
      <c r="V6" s="385"/>
      <c r="W6" s="385"/>
      <c r="X6" s="156"/>
      <c r="Y6" s="155" t="s">
        <v>25</v>
      </c>
      <c r="Z6" s="155" t="s">
        <v>26</v>
      </c>
      <c r="AA6" s="155" t="s">
        <v>76</v>
      </c>
      <c r="AB6" s="155" t="s">
        <v>28</v>
      </c>
      <c r="AC6" s="155" t="s">
        <v>56</v>
      </c>
      <c r="AD6" s="155" t="s">
        <v>29</v>
      </c>
      <c r="AE6" s="155" t="s">
        <v>142</v>
      </c>
      <c r="AF6" s="398"/>
      <c r="AG6" s="398"/>
      <c r="AH6" s="426"/>
      <c r="AI6" s="424"/>
    </row>
    <row r="7" spans="1:35" ht="45.75" customHeight="1" x14ac:dyDescent="0.3">
      <c r="A7" s="240"/>
      <c r="B7" s="241"/>
      <c r="C7" s="157"/>
      <c r="D7" s="400"/>
      <c r="E7" s="400"/>
      <c r="F7" s="400"/>
      <c r="G7" s="400"/>
      <c r="H7" s="400"/>
      <c r="I7" s="400"/>
      <c r="J7" s="400"/>
      <c r="K7" s="400"/>
      <c r="L7" s="400"/>
      <c r="M7" s="455"/>
      <c r="N7" s="456"/>
      <c r="O7" s="455"/>
      <c r="P7" s="456"/>
      <c r="Q7" s="455"/>
      <c r="R7" s="456"/>
      <c r="S7" s="242"/>
      <c r="T7" s="455"/>
      <c r="U7" s="456"/>
      <c r="V7" s="400"/>
      <c r="W7" s="400"/>
      <c r="X7" s="157"/>
      <c r="Y7" s="155"/>
      <c r="Z7" s="155"/>
      <c r="AA7" s="155"/>
      <c r="AB7" s="155"/>
      <c r="AC7" s="155"/>
      <c r="AD7" s="155"/>
      <c r="AE7" s="155"/>
      <c r="AF7" s="398"/>
      <c r="AG7" s="398"/>
      <c r="AH7" s="426"/>
      <c r="AI7" s="424"/>
    </row>
    <row r="8" spans="1:35" x14ac:dyDescent="0.3">
      <c r="A8" s="243"/>
      <c r="B8" s="244"/>
      <c r="C8" s="155" t="s">
        <v>30</v>
      </c>
      <c r="D8" s="155" t="s">
        <v>30</v>
      </c>
      <c r="E8" s="155" t="s">
        <v>30</v>
      </c>
      <c r="F8" s="155" t="s">
        <v>30</v>
      </c>
      <c r="G8" s="155" t="s">
        <v>30</v>
      </c>
      <c r="H8" s="155" t="s">
        <v>30</v>
      </c>
      <c r="I8" s="155" t="s">
        <v>30</v>
      </c>
      <c r="J8" s="155" t="s">
        <v>31</v>
      </c>
      <c r="K8" s="155" t="s">
        <v>30</v>
      </c>
      <c r="L8" s="155" t="s">
        <v>30</v>
      </c>
      <c r="M8" s="155" t="s">
        <v>32</v>
      </c>
      <c r="N8" s="155" t="s">
        <v>30</v>
      </c>
      <c r="O8" s="155" t="s">
        <v>32</v>
      </c>
      <c r="P8" s="155" t="s">
        <v>30</v>
      </c>
      <c r="Q8" s="155" t="s">
        <v>32</v>
      </c>
      <c r="R8" s="155" t="s">
        <v>30</v>
      </c>
      <c r="S8" s="155" t="s">
        <v>30</v>
      </c>
      <c r="T8" s="155" t="s">
        <v>33</v>
      </c>
      <c r="U8" s="155" t="s">
        <v>30</v>
      </c>
      <c r="V8" s="155" t="s">
        <v>30</v>
      </c>
      <c r="W8" s="155" t="s">
        <v>30</v>
      </c>
      <c r="X8" s="155"/>
      <c r="Y8" s="155"/>
      <c r="Z8" s="155"/>
      <c r="AA8" s="155"/>
      <c r="AB8" s="155"/>
      <c r="AC8" s="155"/>
      <c r="AD8" s="155"/>
      <c r="AE8" s="155"/>
      <c r="AF8" s="398"/>
      <c r="AG8" s="398"/>
      <c r="AH8" s="426"/>
      <c r="AI8" s="424"/>
    </row>
    <row r="9" spans="1:35" x14ac:dyDescent="0.3">
      <c r="A9" s="162">
        <v>1</v>
      </c>
      <c r="B9" s="161">
        <v>2</v>
      </c>
      <c r="C9" s="162">
        <v>3</v>
      </c>
      <c r="D9" s="161">
        <v>4</v>
      </c>
      <c r="E9" s="162">
        <v>5</v>
      </c>
      <c r="F9" s="161">
        <v>6</v>
      </c>
      <c r="G9" s="162">
        <v>7</v>
      </c>
      <c r="H9" s="161">
        <v>8</v>
      </c>
      <c r="I9" s="162">
        <v>9</v>
      </c>
      <c r="J9" s="161">
        <v>10</v>
      </c>
      <c r="K9" s="162">
        <v>11</v>
      </c>
      <c r="L9" s="161">
        <v>12</v>
      </c>
      <c r="M9" s="162">
        <v>13</v>
      </c>
      <c r="N9" s="161">
        <v>14</v>
      </c>
      <c r="O9" s="162">
        <v>15</v>
      </c>
      <c r="P9" s="161">
        <v>16</v>
      </c>
      <c r="Q9" s="162">
        <v>17</v>
      </c>
      <c r="R9" s="161">
        <v>18</v>
      </c>
      <c r="S9" s="162">
        <v>19</v>
      </c>
      <c r="T9" s="161">
        <v>20</v>
      </c>
      <c r="U9" s="162">
        <v>21</v>
      </c>
      <c r="V9" s="161">
        <v>22</v>
      </c>
      <c r="W9" s="162">
        <v>23</v>
      </c>
      <c r="X9" s="166"/>
      <c r="Y9" s="165"/>
      <c r="Z9" s="164"/>
      <c r="AA9" s="164"/>
      <c r="AB9" s="166"/>
      <c r="AC9" s="166"/>
      <c r="AD9" s="17"/>
      <c r="AE9" s="17"/>
      <c r="AF9" s="17"/>
      <c r="AG9" s="17"/>
      <c r="AH9" s="17"/>
      <c r="AI9" s="424"/>
    </row>
    <row r="10" spans="1:35" ht="18.75" customHeight="1" x14ac:dyDescent="0.3">
      <c r="A10" s="425" t="s">
        <v>103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245"/>
      <c r="Y10" s="246"/>
      <c r="Z10" s="246"/>
      <c r="AA10" s="246"/>
      <c r="AB10" s="246"/>
      <c r="AC10" s="246"/>
      <c r="AD10" s="205"/>
      <c r="AE10" s="205"/>
      <c r="AF10" s="205"/>
      <c r="AG10" s="222"/>
      <c r="AH10" s="146"/>
      <c r="AI10" s="146"/>
    </row>
    <row r="11" spans="1:35" x14ac:dyDescent="0.3">
      <c r="A11" s="247" t="s">
        <v>36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49"/>
      <c r="Y11" s="201"/>
      <c r="Z11" s="201"/>
      <c r="AA11" s="201"/>
      <c r="AB11" s="201"/>
      <c r="AC11" s="201"/>
      <c r="AD11" s="201"/>
      <c r="AE11" s="221"/>
      <c r="AF11" s="222"/>
      <c r="AG11" s="222"/>
      <c r="AH11" s="146"/>
      <c r="AI11" s="146"/>
    </row>
    <row r="12" spans="1:35" x14ac:dyDescent="0.3">
      <c r="A12" s="162">
        <v>1</v>
      </c>
      <c r="B12" s="250" t="s">
        <v>37</v>
      </c>
      <c r="C12" s="201">
        <f>D12+K12+L12+N12+P12+R12+S12+U12+V12+W12</f>
        <v>130000</v>
      </c>
      <c r="D12" s="201">
        <f>E12+F12+G12+H12+I12</f>
        <v>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>
        <v>130000</v>
      </c>
      <c r="X12" s="249"/>
      <c r="Y12" s="201"/>
      <c r="Z12" s="201"/>
      <c r="AA12" s="201"/>
      <c r="AB12" s="201"/>
      <c r="AC12" s="201"/>
      <c r="AD12" s="201">
        <v>130000</v>
      </c>
      <c r="AE12" s="221"/>
      <c r="AF12" s="222"/>
      <c r="AG12" s="222"/>
      <c r="AH12" s="146"/>
      <c r="AI12" s="146"/>
    </row>
    <row r="13" spans="1:35" x14ac:dyDescent="0.3">
      <c r="A13" s="421" t="s">
        <v>35</v>
      </c>
      <c r="B13" s="422"/>
      <c r="C13" s="201">
        <f t="shared" ref="C13:W13" si="0">SUM(C12:C12)</f>
        <v>130000</v>
      </c>
      <c r="D13" s="201">
        <f t="shared" si="0"/>
        <v>0</v>
      </c>
      <c r="E13" s="201">
        <f t="shared" si="0"/>
        <v>0</v>
      </c>
      <c r="F13" s="201">
        <f t="shared" si="0"/>
        <v>0</v>
      </c>
      <c r="G13" s="201">
        <f t="shared" si="0"/>
        <v>0</v>
      </c>
      <c r="H13" s="201">
        <f t="shared" si="0"/>
        <v>0</v>
      </c>
      <c r="I13" s="201">
        <f t="shared" si="0"/>
        <v>0</v>
      </c>
      <c r="J13" s="201">
        <f t="shared" si="0"/>
        <v>0</v>
      </c>
      <c r="K13" s="201">
        <f t="shared" si="0"/>
        <v>0</v>
      </c>
      <c r="L13" s="201">
        <f t="shared" si="0"/>
        <v>0</v>
      </c>
      <c r="M13" s="201">
        <f t="shared" si="0"/>
        <v>0</v>
      </c>
      <c r="N13" s="201">
        <f t="shared" si="0"/>
        <v>0</v>
      </c>
      <c r="O13" s="201">
        <f t="shared" si="0"/>
        <v>0</v>
      </c>
      <c r="P13" s="201">
        <f t="shared" si="0"/>
        <v>0</v>
      </c>
      <c r="Q13" s="201">
        <f t="shared" si="0"/>
        <v>0</v>
      </c>
      <c r="R13" s="201">
        <f t="shared" si="0"/>
        <v>0</v>
      </c>
      <c r="S13" s="201">
        <f t="shared" si="0"/>
        <v>0</v>
      </c>
      <c r="T13" s="201">
        <f t="shared" si="0"/>
        <v>0</v>
      </c>
      <c r="U13" s="201">
        <f t="shared" si="0"/>
        <v>0</v>
      </c>
      <c r="V13" s="201">
        <f t="shared" si="0"/>
        <v>0</v>
      </c>
      <c r="W13" s="201">
        <f t="shared" si="0"/>
        <v>130000</v>
      </c>
      <c r="X13" s="249"/>
      <c r="Y13" s="201"/>
      <c r="Z13" s="201"/>
      <c r="AA13" s="201"/>
      <c r="AB13" s="201"/>
      <c r="AC13" s="201"/>
      <c r="AD13" s="201"/>
      <c r="AE13" s="221"/>
      <c r="AF13" s="222"/>
      <c r="AG13" s="222"/>
      <c r="AH13" s="146"/>
      <c r="AI13" s="146"/>
    </row>
    <row r="14" spans="1:35" x14ac:dyDescent="0.3">
      <c r="A14" s="420" t="s">
        <v>193</v>
      </c>
      <c r="B14" s="37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90"/>
      <c r="Y14" s="35"/>
      <c r="Z14" s="35"/>
      <c r="AA14" s="35"/>
      <c r="AB14" s="35"/>
      <c r="AC14" s="35"/>
      <c r="AD14" s="35"/>
      <c r="AE14" s="251"/>
      <c r="AF14" s="252"/>
      <c r="AG14" s="252"/>
      <c r="AH14" s="146"/>
      <c r="AI14" s="146"/>
    </row>
    <row r="15" spans="1:35" x14ac:dyDescent="0.3">
      <c r="A15" s="27">
        <f>A12+1</f>
        <v>2</v>
      </c>
      <c r="B15" s="253" t="s">
        <v>192</v>
      </c>
      <c r="C15" s="35">
        <f>D15+K15+L15+N15+P15+R15+S15+U15+V15+W15</f>
        <v>217045.27</v>
      </c>
      <c r="D15" s="35">
        <f>E15+F15+G15+H15+I15</f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>
        <f>SUM(Y15:AI15)</f>
        <v>217045.27</v>
      </c>
      <c r="X15" s="190"/>
      <c r="Y15" s="35"/>
      <c r="Z15" s="35"/>
      <c r="AA15" s="35"/>
      <c r="AB15" s="35"/>
      <c r="AC15" s="35"/>
      <c r="AD15" s="35"/>
      <c r="AF15" s="252"/>
      <c r="AG15" s="251">
        <v>217045.27</v>
      </c>
      <c r="AH15" s="146"/>
      <c r="AI15" s="146"/>
    </row>
    <row r="16" spans="1:35" x14ac:dyDescent="0.3">
      <c r="A16" s="421" t="s">
        <v>35</v>
      </c>
      <c r="B16" s="422"/>
      <c r="C16" s="201">
        <f t="shared" ref="C16:W16" si="1">SUM(C15:C15)</f>
        <v>217045.27</v>
      </c>
      <c r="D16" s="201">
        <f t="shared" si="1"/>
        <v>0</v>
      </c>
      <c r="E16" s="201">
        <f t="shared" si="1"/>
        <v>0</v>
      </c>
      <c r="F16" s="201">
        <f t="shared" si="1"/>
        <v>0</v>
      </c>
      <c r="G16" s="201">
        <f t="shared" si="1"/>
        <v>0</v>
      </c>
      <c r="H16" s="201">
        <f t="shared" si="1"/>
        <v>0</v>
      </c>
      <c r="I16" s="201">
        <f t="shared" si="1"/>
        <v>0</v>
      </c>
      <c r="J16" s="201">
        <f t="shared" si="1"/>
        <v>0</v>
      </c>
      <c r="K16" s="201">
        <f t="shared" si="1"/>
        <v>0</v>
      </c>
      <c r="L16" s="201">
        <f t="shared" si="1"/>
        <v>0</v>
      </c>
      <c r="M16" s="201">
        <f t="shared" si="1"/>
        <v>0</v>
      </c>
      <c r="N16" s="201">
        <f t="shared" si="1"/>
        <v>0</v>
      </c>
      <c r="O16" s="201">
        <f t="shared" si="1"/>
        <v>0</v>
      </c>
      <c r="P16" s="201">
        <f t="shared" si="1"/>
        <v>0</v>
      </c>
      <c r="Q16" s="201">
        <f t="shared" si="1"/>
        <v>0</v>
      </c>
      <c r="R16" s="201">
        <f t="shared" si="1"/>
        <v>0</v>
      </c>
      <c r="S16" s="201">
        <f t="shared" si="1"/>
        <v>0</v>
      </c>
      <c r="T16" s="201">
        <f t="shared" si="1"/>
        <v>0</v>
      </c>
      <c r="U16" s="201">
        <f t="shared" si="1"/>
        <v>0</v>
      </c>
      <c r="V16" s="201">
        <f t="shared" si="1"/>
        <v>0</v>
      </c>
      <c r="W16" s="201">
        <f t="shared" si="1"/>
        <v>217045.27</v>
      </c>
      <c r="X16" s="249"/>
      <c r="Y16" s="201"/>
      <c r="Z16" s="201"/>
      <c r="AA16" s="201"/>
      <c r="AB16" s="201"/>
      <c r="AC16" s="201"/>
      <c r="AD16" s="201"/>
      <c r="AE16" s="221"/>
      <c r="AF16" s="222"/>
      <c r="AG16" s="222"/>
      <c r="AH16" s="146"/>
      <c r="AI16" s="146"/>
    </row>
    <row r="17" spans="1:39" x14ac:dyDescent="0.3">
      <c r="A17" s="416" t="s">
        <v>110</v>
      </c>
      <c r="B17" s="417"/>
      <c r="C17" s="205">
        <f>C13+C16</f>
        <v>347045.27</v>
      </c>
      <c r="D17" s="205">
        <f t="shared" ref="D17:W17" si="2">D13+D16</f>
        <v>0</v>
      </c>
      <c r="E17" s="205">
        <f t="shared" si="2"/>
        <v>0</v>
      </c>
      <c r="F17" s="205">
        <f t="shared" si="2"/>
        <v>0</v>
      </c>
      <c r="G17" s="205">
        <f t="shared" si="2"/>
        <v>0</v>
      </c>
      <c r="H17" s="205">
        <f t="shared" si="2"/>
        <v>0</v>
      </c>
      <c r="I17" s="205">
        <f t="shared" si="2"/>
        <v>0</v>
      </c>
      <c r="J17" s="205">
        <f t="shared" si="2"/>
        <v>0</v>
      </c>
      <c r="K17" s="205">
        <f t="shared" si="2"/>
        <v>0</v>
      </c>
      <c r="L17" s="205">
        <f t="shared" si="2"/>
        <v>0</v>
      </c>
      <c r="M17" s="205">
        <f t="shared" si="2"/>
        <v>0</v>
      </c>
      <c r="N17" s="205">
        <f t="shared" si="2"/>
        <v>0</v>
      </c>
      <c r="O17" s="205">
        <f t="shared" si="2"/>
        <v>0</v>
      </c>
      <c r="P17" s="205">
        <f t="shared" si="2"/>
        <v>0</v>
      </c>
      <c r="Q17" s="205">
        <f t="shared" si="2"/>
        <v>0</v>
      </c>
      <c r="R17" s="205">
        <f t="shared" si="2"/>
        <v>0</v>
      </c>
      <c r="S17" s="205">
        <f t="shared" si="2"/>
        <v>0</v>
      </c>
      <c r="T17" s="205">
        <f t="shared" si="2"/>
        <v>0</v>
      </c>
      <c r="U17" s="205">
        <f t="shared" si="2"/>
        <v>0</v>
      </c>
      <c r="V17" s="205">
        <f t="shared" si="2"/>
        <v>0</v>
      </c>
      <c r="W17" s="205">
        <f t="shared" si="2"/>
        <v>347045.27</v>
      </c>
      <c r="X17" s="152"/>
      <c r="Y17" s="152"/>
      <c r="Z17" s="152"/>
      <c r="AA17" s="152"/>
      <c r="AB17" s="152"/>
      <c r="AC17" s="152"/>
      <c r="AD17" s="152"/>
      <c r="AE17" s="216"/>
      <c r="AF17" s="217"/>
      <c r="AG17" s="217"/>
      <c r="AH17" s="146"/>
      <c r="AI17" s="146"/>
    </row>
    <row r="18" spans="1:39" x14ac:dyDescent="0.3">
      <c r="A18" s="254" t="s">
        <v>201</v>
      </c>
      <c r="B18" s="25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52"/>
      <c r="Y18" s="152"/>
      <c r="Z18" s="152"/>
      <c r="AA18" s="152"/>
      <c r="AB18" s="152"/>
      <c r="AC18" s="152"/>
      <c r="AD18" s="152"/>
      <c r="AE18" s="216"/>
      <c r="AF18" s="217"/>
      <c r="AG18" s="217"/>
      <c r="AH18" s="146"/>
      <c r="AI18" s="146"/>
    </row>
    <row r="19" spans="1:39" ht="33" customHeight="1" x14ac:dyDescent="0.3">
      <c r="A19" s="420" t="s">
        <v>200</v>
      </c>
      <c r="B19" s="37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90"/>
      <c r="Y19" s="29"/>
      <c r="Z19" s="29"/>
      <c r="AA19" s="29"/>
      <c r="AB19" s="29"/>
      <c r="AC19" s="29"/>
      <c r="AD19" s="29"/>
      <c r="AE19" s="29"/>
      <c r="AG19" s="37"/>
    </row>
    <row r="20" spans="1:39" x14ac:dyDescent="0.3">
      <c r="A20" s="27">
        <f>A15+1</f>
        <v>3</v>
      </c>
      <c r="B20" s="253" t="s">
        <v>199</v>
      </c>
      <c r="C20" s="35">
        <f>D20+K20+L20+N20+R20+S20+U20+V20+W20</f>
        <v>949602.59</v>
      </c>
      <c r="D20" s="35">
        <f>E20+F20+G20+H20+I20</f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>
        <f>SUM(Z20:AF20)</f>
        <v>949602.59</v>
      </c>
      <c r="X20" s="152"/>
      <c r="Y20" s="44">
        <v>176311.48</v>
      </c>
      <c r="Z20" s="44">
        <v>225469.19</v>
      </c>
      <c r="AA20" s="98">
        <v>190699.78</v>
      </c>
      <c r="AC20" s="55">
        <v>174120.37</v>
      </c>
      <c r="AD20" s="44"/>
      <c r="AF20" s="44">
        <v>359313.25</v>
      </c>
      <c r="AG20" s="37"/>
    </row>
    <row r="21" spans="1:39" x14ac:dyDescent="0.3">
      <c r="A21" s="421" t="s">
        <v>35</v>
      </c>
      <c r="B21" s="422"/>
      <c r="C21" s="201">
        <f t="shared" ref="C21:W21" si="3">SUM(C20:C20)</f>
        <v>949602.59</v>
      </c>
      <c r="D21" s="201">
        <f t="shared" si="3"/>
        <v>0</v>
      </c>
      <c r="E21" s="201">
        <f t="shared" si="3"/>
        <v>0</v>
      </c>
      <c r="F21" s="201">
        <f t="shared" si="3"/>
        <v>0</v>
      </c>
      <c r="G21" s="201">
        <f t="shared" si="3"/>
        <v>0</v>
      </c>
      <c r="H21" s="201">
        <f t="shared" si="3"/>
        <v>0</v>
      </c>
      <c r="I21" s="201">
        <f t="shared" si="3"/>
        <v>0</v>
      </c>
      <c r="J21" s="201">
        <f t="shared" si="3"/>
        <v>0</v>
      </c>
      <c r="K21" s="201">
        <f t="shared" si="3"/>
        <v>0</v>
      </c>
      <c r="L21" s="201">
        <f t="shared" si="3"/>
        <v>0</v>
      </c>
      <c r="M21" s="201">
        <f t="shared" si="3"/>
        <v>0</v>
      </c>
      <c r="N21" s="201">
        <f t="shared" si="3"/>
        <v>0</v>
      </c>
      <c r="O21" s="201">
        <f t="shared" si="3"/>
        <v>0</v>
      </c>
      <c r="P21" s="201">
        <f t="shared" si="3"/>
        <v>0</v>
      </c>
      <c r="Q21" s="201">
        <f t="shared" si="3"/>
        <v>0</v>
      </c>
      <c r="R21" s="201">
        <f t="shared" si="3"/>
        <v>0</v>
      </c>
      <c r="S21" s="201">
        <f t="shared" si="3"/>
        <v>0</v>
      </c>
      <c r="T21" s="201">
        <f t="shared" si="3"/>
        <v>0</v>
      </c>
      <c r="U21" s="201">
        <f t="shared" si="3"/>
        <v>0</v>
      </c>
      <c r="V21" s="201">
        <f t="shared" si="3"/>
        <v>0</v>
      </c>
      <c r="W21" s="201">
        <f t="shared" si="3"/>
        <v>949602.59</v>
      </c>
      <c r="X21" s="249"/>
      <c r="Y21" s="201"/>
      <c r="Z21" s="201"/>
      <c r="AA21" s="201"/>
      <c r="AB21" s="201"/>
      <c r="AC21" s="201"/>
      <c r="AD21" s="201"/>
      <c r="AE21" s="221"/>
      <c r="AF21" s="222"/>
      <c r="AG21" s="222"/>
      <c r="AH21" s="146"/>
      <c r="AI21" s="146"/>
    </row>
    <row r="22" spans="1:39" x14ac:dyDescent="0.3">
      <c r="A22" s="416" t="s">
        <v>203</v>
      </c>
      <c r="B22" s="417"/>
      <c r="C22" s="210">
        <f t="shared" ref="C22:W22" si="4">C21</f>
        <v>949602.59</v>
      </c>
      <c r="D22" s="210">
        <f t="shared" si="4"/>
        <v>0</v>
      </c>
      <c r="E22" s="210">
        <f t="shared" si="4"/>
        <v>0</v>
      </c>
      <c r="F22" s="210">
        <f t="shared" si="4"/>
        <v>0</v>
      </c>
      <c r="G22" s="210">
        <f t="shared" si="4"/>
        <v>0</v>
      </c>
      <c r="H22" s="210">
        <f t="shared" si="4"/>
        <v>0</v>
      </c>
      <c r="I22" s="210">
        <f t="shared" si="4"/>
        <v>0</v>
      </c>
      <c r="J22" s="210">
        <f t="shared" si="4"/>
        <v>0</v>
      </c>
      <c r="K22" s="210">
        <f t="shared" si="4"/>
        <v>0</v>
      </c>
      <c r="L22" s="210">
        <f t="shared" si="4"/>
        <v>0</v>
      </c>
      <c r="M22" s="210">
        <f t="shared" si="4"/>
        <v>0</v>
      </c>
      <c r="N22" s="210">
        <f t="shared" si="4"/>
        <v>0</v>
      </c>
      <c r="O22" s="210">
        <f t="shared" si="4"/>
        <v>0</v>
      </c>
      <c r="P22" s="210">
        <f t="shared" si="4"/>
        <v>0</v>
      </c>
      <c r="Q22" s="210">
        <f t="shared" si="4"/>
        <v>0</v>
      </c>
      <c r="R22" s="210">
        <f t="shared" si="4"/>
        <v>0</v>
      </c>
      <c r="S22" s="210">
        <f t="shared" si="4"/>
        <v>0</v>
      </c>
      <c r="T22" s="210">
        <f t="shared" si="4"/>
        <v>0</v>
      </c>
      <c r="U22" s="210">
        <f t="shared" si="4"/>
        <v>0</v>
      </c>
      <c r="V22" s="210">
        <f t="shared" si="4"/>
        <v>0</v>
      </c>
      <c r="W22" s="210">
        <f t="shared" si="4"/>
        <v>949602.59</v>
      </c>
      <c r="X22" s="256"/>
      <c r="Y22" s="257"/>
      <c r="Z22" s="257"/>
      <c r="AA22" s="257"/>
      <c r="AB22" s="257"/>
      <c r="AC22" s="35"/>
      <c r="AD22" s="35"/>
      <c r="AE22" s="251"/>
      <c r="AF22" s="258"/>
      <c r="AG22" s="217"/>
      <c r="AH22" s="146"/>
      <c r="AI22" s="146"/>
    </row>
    <row r="23" spans="1:39" x14ac:dyDescent="0.3">
      <c r="A23" s="433" t="s">
        <v>38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5"/>
      <c r="X23" s="259"/>
      <c r="Y23" s="260"/>
      <c r="Z23" s="260"/>
      <c r="AA23" s="260"/>
      <c r="AB23" s="260"/>
      <c r="AC23" s="205"/>
      <c r="AD23" s="205"/>
      <c r="AE23" s="205"/>
      <c r="AF23" s="261"/>
      <c r="AG23" s="146"/>
    </row>
    <row r="24" spans="1:39" x14ac:dyDescent="0.3">
      <c r="A24" s="247" t="s">
        <v>39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152"/>
      <c r="Y24" s="152"/>
      <c r="Z24" s="152"/>
      <c r="AA24" s="152"/>
      <c r="AB24" s="152"/>
      <c r="AC24" s="19"/>
      <c r="AD24" s="194"/>
      <c r="AE24" s="195"/>
      <c r="AF24" s="195"/>
      <c r="AG24" s="146"/>
    </row>
    <row r="25" spans="1:39" x14ac:dyDescent="0.3">
      <c r="A25" s="27">
        <f>A20+1</f>
        <v>4</v>
      </c>
      <c r="B25" s="250" t="s">
        <v>40</v>
      </c>
      <c r="C25" s="201">
        <f t="shared" ref="C25:C32" si="5">D25+K25+L25+N25+P25+R25+S25+U25+W25+V25</f>
        <v>130000</v>
      </c>
      <c r="D25" s="201">
        <f t="shared" ref="D25:D33" si="6">E25+F25+G25+H25+I25</f>
        <v>0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129"/>
      <c r="W25" s="201">
        <v>130000</v>
      </c>
      <c r="X25" s="152"/>
      <c r="Y25" s="152"/>
      <c r="Z25" s="152"/>
      <c r="AA25" s="152"/>
      <c r="AB25" s="152"/>
      <c r="AC25" s="19"/>
      <c r="AD25" s="194">
        <v>130000</v>
      </c>
      <c r="AE25" s="195"/>
      <c r="AF25" s="195"/>
      <c r="AG25" s="146"/>
    </row>
    <row r="26" spans="1:39" x14ac:dyDescent="0.3">
      <c r="A26" s="27">
        <f>A25+1</f>
        <v>5</v>
      </c>
      <c r="B26" s="262" t="s">
        <v>239</v>
      </c>
      <c r="C26" s="201">
        <f>D26+K26+L26+N26+P26+R26+S26+U26+W26+V26</f>
        <v>397653.68</v>
      </c>
      <c r="D26" s="59">
        <f t="shared" si="6"/>
        <v>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263"/>
      <c r="W26" s="59">
        <v>397653.68</v>
      </c>
      <c r="X26" s="152"/>
      <c r="Y26" s="152"/>
      <c r="Z26" s="152"/>
      <c r="AA26" s="152"/>
      <c r="AD26" s="195"/>
      <c r="AE26" s="19">
        <v>397653.68</v>
      </c>
      <c r="AF26" s="194"/>
    </row>
    <row r="27" spans="1:39" x14ac:dyDescent="0.3">
      <c r="A27" s="27">
        <f t="shared" ref="A27:A32" si="7">A26+1</f>
        <v>6</v>
      </c>
      <c r="B27" s="262" t="s">
        <v>238</v>
      </c>
      <c r="C27" s="201">
        <f t="shared" si="5"/>
        <v>281021.93</v>
      </c>
      <c r="D27" s="59">
        <f t="shared" si="6"/>
        <v>0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263"/>
      <c r="W27" s="59">
        <v>281021.93</v>
      </c>
      <c r="X27" s="152"/>
      <c r="Y27" s="152"/>
      <c r="Z27" s="152"/>
      <c r="AA27" s="19"/>
      <c r="AD27" s="195"/>
      <c r="AE27" s="152">
        <v>281021.93</v>
      </c>
      <c r="AF27" s="194"/>
    </row>
    <row r="28" spans="1:39" x14ac:dyDescent="0.3">
      <c r="A28" s="27">
        <f t="shared" si="7"/>
        <v>7</v>
      </c>
      <c r="B28" s="250" t="s">
        <v>41</v>
      </c>
      <c r="C28" s="201">
        <f t="shared" si="5"/>
        <v>130000</v>
      </c>
      <c r="D28" s="201">
        <f t="shared" si="6"/>
        <v>0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129"/>
      <c r="W28" s="201">
        <v>130000</v>
      </c>
      <c r="X28" s="152"/>
      <c r="Y28" s="152"/>
      <c r="Z28" s="152"/>
      <c r="AA28" s="152"/>
      <c r="AB28" s="152"/>
      <c r="AC28" s="19"/>
      <c r="AD28" s="149">
        <v>130000</v>
      </c>
      <c r="AE28" s="146"/>
      <c r="AF28" s="195"/>
      <c r="AG28" s="146"/>
    </row>
    <row r="29" spans="1:39" x14ac:dyDescent="0.3">
      <c r="A29" s="27">
        <f t="shared" si="7"/>
        <v>8</v>
      </c>
      <c r="B29" s="262" t="s">
        <v>237</v>
      </c>
      <c r="C29" s="201">
        <f t="shared" si="5"/>
        <v>342924.76</v>
      </c>
      <c r="D29" s="59">
        <f t="shared" si="6"/>
        <v>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29"/>
      <c r="W29" s="59">
        <v>342924.76</v>
      </c>
      <c r="X29" s="152"/>
      <c r="Y29" s="152"/>
      <c r="Z29" s="152"/>
      <c r="AA29" s="152"/>
      <c r="AD29" s="195"/>
      <c r="AE29" s="19">
        <v>342924.76</v>
      </c>
      <c r="AF29" s="194"/>
    </row>
    <row r="30" spans="1:39" x14ac:dyDescent="0.3">
      <c r="A30" s="27">
        <f t="shared" si="7"/>
        <v>9</v>
      </c>
      <c r="B30" s="253" t="s">
        <v>144</v>
      </c>
      <c r="C30" s="201">
        <f t="shared" si="5"/>
        <v>870516.7</v>
      </c>
      <c r="D30" s="101">
        <f t="shared" si="6"/>
        <v>0</v>
      </c>
      <c r="E30" s="264"/>
      <c r="F30" s="264"/>
      <c r="G30" s="264"/>
      <c r="H30" s="264"/>
      <c r="I30" s="264"/>
      <c r="J30" s="264"/>
      <c r="K30" s="264"/>
      <c r="L30" s="264"/>
      <c r="M30" s="265"/>
      <c r="N30" s="264"/>
      <c r="O30" s="266"/>
      <c r="P30" s="264"/>
      <c r="Q30" s="267"/>
      <c r="R30" s="264"/>
      <c r="S30" s="264"/>
      <c r="T30" s="267"/>
      <c r="U30" s="264"/>
      <c r="V30" s="265"/>
      <c r="W30" s="35">
        <f>SUM(AD30:AN30)</f>
        <v>870516.7</v>
      </c>
      <c r="AD30" s="152">
        <v>227499.59</v>
      </c>
      <c r="AE30" s="152"/>
      <c r="AF30" s="19">
        <v>470465.62</v>
      </c>
      <c r="AG30" s="194">
        <v>172551.49</v>
      </c>
      <c r="AH30" s="152"/>
      <c r="AK30" s="195"/>
      <c r="AL30" s="195"/>
      <c r="AM30" s="146"/>
    </row>
    <row r="31" spans="1:39" x14ac:dyDescent="0.3">
      <c r="A31" s="27">
        <f t="shared" si="7"/>
        <v>10</v>
      </c>
      <c r="B31" s="262" t="s">
        <v>236</v>
      </c>
      <c r="C31" s="201">
        <f>D31+K31+L31+N31+P31+R31+S31+U31+W31+V31</f>
        <v>391281.5</v>
      </c>
      <c r="D31" s="59">
        <f t="shared" si="6"/>
        <v>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229"/>
      <c r="W31" s="59">
        <v>391281.5</v>
      </c>
      <c r="X31" s="152"/>
      <c r="Y31" s="152"/>
      <c r="Z31" s="152"/>
      <c r="AA31" s="152"/>
      <c r="AD31" s="195"/>
      <c r="AE31" s="19">
        <v>391281.5</v>
      </c>
      <c r="AF31" s="194"/>
    </row>
    <row r="32" spans="1:39" x14ac:dyDescent="0.3">
      <c r="A32" s="27">
        <f t="shared" si="7"/>
        <v>11</v>
      </c>
      <c r="B32" s="262" t="s">
        <v>150</v>
      </c>
      <c r="C32" s="201">
        <f t="shared" si="5"/>
        <v>381632.86</v>
      </c>
      <c r="D32" s="59">
        <f t="shared" si="6"/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>
        <f>SUM(Y32:AH32)</f>
        <v>381632.86</v>
      </c>
      <c r="X32" s="152"/>
      <c r="Y32" s="152"/>
      <c r="Z32" s="152"/>
      <c r="AA32" s="152"/>
      <c r="AB32" s="152"/>
      <c r="AD32" s="194"/>
      <c r="AE32" s="195"/>
      <c r="AF32" s="19">
        <v>381632.86</v>
      </c>
      <c r="AG32" s="146"/>
    </row>
    <row r="33" spans="1:37" x14ac:dyDescent="0.3">
      <c r="A33" s="27">
        <f>A32+1</f>
        <v>12</v>
      </c>
      <c r="B33" s="250" t="s">
        <v>42</v>
      </c>
      <c r="C33" s="201">
        <f>D33+K33+L33+N33+P33+R33+S33+U33+W33+V33</f>
        <v>130000</v>
      </c>
      <c r="D33" s="201">
        <f t="shared" si="6"/>
        <v>0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>
        <v>130000</v>
      </c>
      <c r="X33" s="152"/>
      <c r="Y33" s="152"/>
      <c r="Z33" s="152"/>
      <c r="AA33" s="152"/>
      <c r="AB33" s="152"/>
      <c r="AC33" s="19"/>
      <c r="AD33" s="194">
        <v>130000</v>
      </c>
      <c r="AE33" s="195"/>
      <c r="AF33" s="195"/>
      <c r="AG33" s="146"/>
    </row>
    <row r="34" spans="1:37" x14ac:dyDescent="0.3">
      <c r="A34" s="27">
        <f>A33+1</f>
        <v>13</v>
      </c>
      <c r="B34" s="268" t="s">
        <v>281</v>
      </c>
      <c r="C34" s="201">
        <f>D34+K34+L34+N34+P34+R34+S34+U34+W34+V34</f>
        <v>130000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201">
        <v>130000</v>
      </c>
      <c r="X34" s="152"/>
      <c r="Y34" s="152"/>
      <c r="Z34" s="152"/>
      <c r="AA34" s="152"/>
      <c r="AB34" s="152"/>
      <c r="AC34" s="19"/>
      <c r="AD34" s="194"/>
      <c r="AE34" s="195"/>
      <c r="AF34" s="195"/>
      <c r="AG34" s="146"/>
    </row>
    <row r="35" spans="1:37" x14ac:dyDescent="0.3">
      <c r="A35" s="438" t="s">
        <v>35</v>
      </c>
      <c r="B35" s="439"/>
      <c r="C35" s="201">
        <f>SUM(C25:C34)</f>
        <v>3185031.4299999997</v>
      </c>
      <c r="D35" s="201">
        <f t="shared" ref="D35:W35" si="8">SUM(D25:D34)</f>
        <v>0</v>
      </c>
      <c r="E35" s="201">
        <f t="shared" si="8"/>
        <v>0</v>
      </c>
      <c r="F35" s="201">
        <f t="shared" si="8"/>
        <v>0</v>
      </c>
      <c r="G35" s="201">
        <f t="shared" si="8"/>
        <v>0</v>
      </c>
      <c r="H35" s="201">
        <f t="shared" si="8"/>
        <v>0</v>
      </c>
      <c r="I35" s="201">
        <f t="shared" si="8"/>
        <v>0</v>
      </c>
      <c r="J35" s="201">
        <f t="shared" si="8"/>
        <v>0</v>
      </c>
      <c r="K35" s="201">
        <f t="shared" si="8"/>
        <v>0</v>
      </c>
      <c r="L35" s="201">
        <f t="shared" si="8"/>
        <v>0</v>
      </c>
      <c r="M35" s="201">
        <f t="shared" si="8"/>
        <v>0</v>
      </c>
      <c r="N35" s="201">
        <f t="shared" si="8"/>
        <v>0</v>
      </c>
      <c r="O35" s="201">
        <f t="shared" si="8"/>
        <v>0</v>
      </c>
      <c r="P35" s="201">
        <f t="shared" si="8"/>
        <v>0</v>
      </c>
      <c r="Q35" s="201">
        <f t="shared" si="8"/>
        <v>0</v>
      </c>
      <c r="R35" s="201">
        <f t="shared" si="8"/>
        <v>0</v>
      </c>
      <c r="S35" s="201">
        <f t="shared" si="8"/>
        <v>0</v>
      </c>
      <c r="T35" s="201">
        <f t="shared" si="8"/>
        <v>0</v>
      </c>
      <c r="U35" s="201">
        <f t="shared" si="8"/>
        <v>0</v>
      </c>
      <c r="V35" s="201">
        <f t="shared" si="8"/>
        <v>0</v>
      </c>
      <c r="W35" s="201">
        <f t="shared" si="8"/>
        <v>3185031.4299999997</v>
      </c>
      <c r="X35" s="152"/>
      <c r="Y35" s="19"/>
      <c r="Z35" s="194"/>
      <c r="AA35" s="195"/>
      <c r="AB35" s="195"/>
      <c r="AC35" s="146"/>
      <c r="AD35" s="146"/>
      <c r="AE35" s="146"/>
    </row>
    <row r="36" spans="1:37" ht="32.25" customHeight="1" x14ac:dyDescent="0.3">
      <c r="A36" s="378" t="s">
        <v>293</v>
      </c>
      <c r="B36" s="379"/>
      <c r="C36" s="114"/>
      <c r="D36" s="114"/>
      <c r="E36" s="257"/>
      <c r="F36" s="257"/>
      <c r="G36" s="257"/>
      <c r="H36" s="257"/>
      <c r="I36" s="114"/>
      <c r="J36" s="114"/>
      <c r="K36" s="114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9"/>
      <c r="Z36" s="194"/>
      <c r="AA36" s="195"/>
      <c r="AB36" s="195"/>
      <c r="AC36" s="146"/>
      <c r="AD36" s="146"/>
      <c r="AE36" s="146"/>
    </row>
    <row r="37" spans="1:37" x14ac:dyDescent="0.3">
      <c r="A37" s="27">
        <f>A34+1</f>
        <v>14</v>
      </c>
      <c r="B37" s="106" t="s">
        <v>294</v>
      </c>
      <c r="C37" s="201">
        <f>D37+K37+L37+N37+P37+R37+S37+U37+W37+V37</f>
        <v>365141.79</v>
      </c>
      <c r="D37" s="114">
        <f>E37+F37+G37+H37+I37</f>
        <v>0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269">
        <f>Z37+AA37+AB37+AC37+AD37+AE37+AF37+AG37+AH37</f>
        <v>365141.79</v>
      </c>
      <c r="X37" s="114"/>
      <c r="Z37" s="270"/>
      <c r="AA37" s="271"/>
      <c r="AB37" s="271">
        <v>122056.51</v>
      </c>
      <c r="AC37" s="271">
        <v>121028.77</v>
      </c>
      <c r="AD37" s="271">
        <v>122056.51</v>
      </c>
      <c r="AE37" s="271"/>
      <c r="AF37" s="271"/>
      <c r="AG37" s="271"/>
      <c r="AH37" s="271"/>
    </row>
    <row r="38" spans="1:37" x14ac:dyDescent="0.3">
      <c r="A38" s="105">
        <f>A37+1</f>
        <v>15</v>
      </c>
      <c r="B38" s="106" t="s">
        <v>295</v>
      </c>
      <c r="C38" s="201">
        <f>D38+K38+L38+N38+P38+R38+S38+U38+W38+V38</f>
        <v>318640.69</v>
      </c>
      <c r="D38" s="114">
        <f>E38+F38+G38+H38+I38</f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269">
        <f>Z38+AA38+AB38+AC38+AD38+AE38+AF38+AG38+AH38</f>
        <v>318640.69</v>
      </c>
      <c r="X38" s="114"/>
      <c r="Z38" s="270"/>
      <c r="AA38" s="271"/>
      <c r="AB38" s="271">
        <v>106556.14</v>
      </c>
      <c r="AC38" s="271">
        <v>105528.41</v>
      </c>
      <c r="AD38" s="271">
        <v>106556.14</v>
      </c>
      <c r="AE38" s="271"/>
      <c r="AF38" s="271"/>
      <c r="AG38" s="271"/>
      <c r="AH38" s="271"/>
    </row>
    <row r="39" spans="1:37" x14ac:dyDescent="0.3">
      <c r="A39" s="105">
        <f>A38+1</f>
        <v>16</v>
      </c>
      <c r="B39" s="106" t="s">
        <v>296</v>
      </c>
      <c r="C39" s="201">
        <f>D39+K39+L39+N39+P39+R39+S39+U39+W39+V39</f>
        <v>318640.69</v>
      </c>
      <c r="D39" s="114">
        <f>E39+F39+G39+H39+I39</f>
        <v>0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269">
        <f>Z39+AA39+AB39+AC39+AD39+AE39+AF39+AG39+AH39</f>
        <v>318640.69</v>
      </c>
      <c r="X39" s="114"/>
      <c r="Z39" s="270"/>
      <c r="AA39" s="271"/>
      <c r="AB39" s="271">
        <v>106556.14</v>
      </c>
      <c r="AC39" s="271">
        <v>105528.41</v>
      </c>
      <c r="AD39" s="271">
        <v>106556.14</v>
      </c>
      <c r="AE39" s="271"/>
      <c r="AF39" s="271"/>
      <c r="AG39" s="271"/>
      <c r="AH39" s="271"/>
    </row>
    <row r="40" spans="1:37" x14ac:dyDescent="0.3">
      <c r="A40" s="438" t="s">
        <v>35</v>
      </c>
      <c r="B40" s="439"/>
      <c r="C40" s="114">
        <f>SUM(C37:C39)</f>
        <v>1002423.1699999999</v>
      </c>
      <c r="D40" s="114">
        <f t="shared" ref="D40:W40" si="9">SUM(D37:D39)</f>
        <v>0</v>
      </c>
      <c r="E40" s="114">
        <f t="shared" si="9"/>
        <v>0</v>
      </c>
      <c r="F40" s="114">
        <f t="shared" si="9"/>
        <v>0</v>
      </c>
      <c r="G40" s="114">
        <f t="shared" si="9"/>
        <v>0</v>
      </c>
      <c r="H40" s="114">
        <f t="shared" si="9"/>
        <v>0</v>
      </c>
      <c r="I40" s="114">
        <f t="shared" si="9"/>
        <v>0</v>
      </c>
      <c r="J40" s="114">
        <f t="shared" si="9"/>
        <v>0</v>
      </c>
      <c r="K40" s="114">
        <f t="shared" si="9"/>
        <v>0</v>
      </c>
      <c r="L40" s="114">
        <f t="shared" si="9"/>
        <v>0</v>
      </c>
      <c r="M40" s="114">
        <f t="shared" si="9"/>
        <v>0</v>
      </c>
      <c r="N40" s="114">
        <f t="shared" si="9"/>
        <v>0</v>
      </c>
      <c r="O40" s="114">
        <f t="shared" si="9"/>
        <v>0</v>
      </c>
      <c r="P40" s="114">
        <f t="shared" si="9"/>
        <v>0</v>
      </c>
      <c r="Q40" s="114">
        <f t="shared" si="9"/>
        <v>0</v>
      </c>
      <c r="R40" s="114">
        <f t="shared" si="9"/>
        <v>0</v>
      </c>
      <c r="S40" s="114">
        <f t="shared" si="9"/>
        <v>0</v>
      </c>
      <c r="T40" s="114">
        <f t="shared" si="9"/>
        <v>0</v>
      </c>
      <c r="U40" s="114">
        <f t="shared" si="9"/>
        <v>0</v>
      </c>
      <c r="V40" s="114">
        <f t="shared" si="9"/>
        <v>0</v>
      </c>
      <c r="W40" s="114">
        <f t="shared" si="9"/>
        <v>1002423.1699999999</v>
      </c>
      <c r="X40" s="152"/>
      <c r="Y40" s="272"/>
      <c r="Z40" s="273"/>
      <c r="AA40" s="273"/>
      <c r="AB40" s="273"/>
      <c r="AC40" s="273"/>
      <c r="AD40" s="273"/>
      <c r="AE40" s="273"/>
      <c r="AF40" s="273"/>
      <c r="AG40" s="273"/>
      <c r="AH40" s="273"/>
    </row>
    <row r="41" spans="1:37" s="21" customFormat="1" ht="17.25" customHeight="1" x14ac:dyDescent="0.3">
      <c r="A41" s="29" t="s">
        <v>204</v>
      </c>
      <c r="B41" s="30"/>
      <c r="C41" s="31"/>
      <c r="D41" s="31"/>
      <c r="E41" s="274"/>
      <c r="F41" s="274"/>
      <c r="G41" s="274"/>
      <c r="H41" s="275"/>
      <c r="I41" s="32"/>
      <c r="J41" s="31"/>
      <c r="K41" s="31"/>
    </row>
    <row r="42" spans="1:37" s="147" customFormat="1" ht="17.25" customHeight="1" x14ac:dyDescent="0.3">
      <c r="A42" s="27">
        <f>A39+1</f>
        <v>17</v>
      </c>
      <c r="B42" s="30" t="s">
        <v>205</v>
      </c>
      <c r="C42" s="35">
        <f>D42+K42+L42+N42+P42+R42+S42+U42+W42</f>
        <v>1498287.23</v>
      </c>
      <c r="D42" s="35"/>
      <c r="E42" s="35"/>
      <c r="F42" s="35"/>
      <c r="G42" s="35"/>
      <c r="H42" s="35"/>
      <c r="I42" s="35"/>
      <c r="J42" s="2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>
        <f>SUM(Z42:AJ42)</f>
        <v>1498287.23</v>
      </c>
      <c r="X42" s="152">
        <f>C42-E42-F42-G42-H42-I42-N42-P42-R42-S42-U42-V42-W42</f>
        <v>0</v>
      </c>
      <c r="Y42" s="152"/>
      <c r="Z42" s="152"/>
      <c r="AA42" s="152"/>
      <c r="AB42" s="152"/>
      <c r="AC42" s="152"/>
      <c r="AD42" s="152"/>
      <c r="AE42" s="19"/>
      <c r="AF42" s="194">
        <v>202463.64</v>
      </c>
      <c r="AG42" s="195">
        <v>1295823.5900000001</v>
      </c>
      <c r="AH42" s="195"/>
      <c r="AI42" s="146"/>
    </row>
    <row r="43" spans="1:37" x14ac:dyDescent="0.3">
      <c r="A43" s="421" t="s">
        <v>35</v>
      </c>
      <c r="B43" s="422"/>
      <c r="C43" s="201">
        <f t="shared" ref="C43:W43" si="10">SUM(C42:C42)</f>
        <v>1498287.23</v>
      </c>
      <c r="D43" s="201">
        <f t="shared" si="10"/>
        <v>0</v>
      </c>
      <c r="E43" s="201">
        <f t="shared" si="10"/>
        <v>0</v>
      </c>
      <c r="F43" s="201">
        <f t="shared" si="10"/>
        <v>0</v>
      </c>
      <c r="G43" s="201">
        <f t="shared" si="10"/>
        <v>0</v>
      </c>
      <c r="H43" s="201">
        <f t="shared" si="10"/>
        <v>0</v>
      </c>
      <c r="I43" s="201">
        <f t="shared" si="10"/>
        <v>0</v>
      </c>
      <c r="J43" s="201">
        <f t="shared" si="10"/>
        <v>0</v>
      </c>
      <c r="K43" s="201">
        <f t="shared" si="10"/>
        <v>0</v>
      </c>
      <c r="L43" s="201">
        <f t="shared" si="10"/>
        <v>0</v>
      </c>
      <c r="M43" s="201">
        <f t="shared" si="10"/>
        <v>0</v>
      </c>
      <c r="N43" s="201">
        <f t="shared" si="10"/>
        <v>0</v>
      </c>
      <c r="O43" s="201">
        <f t="shared" si="10"/>
        <v>0</v>
      </c>
      <c r="P43" s="201">
        <f t="shared" si="10"/>
        <v>0</v>
      </c>
      <c r="Q43" s="201">
        <f t="shared" si="10"/>
        <v>0</v>
      </c>
      <c r="R43" s="201">
        <f t="shared" si="10"/>
        <v>0</v>
      </c>
      <c r="S43" s="201">
        <f t="shared" si="10"/>
        <v>0</v>
      </c>
      <c r="T43" s="201">
        <f t="shared" si="10"/>
        <v>0</v>
      </c>
      <c r="U43" s="201">
        <f t="shared" si="10"/>
        <v>0</v>
      </c>
      <c r="V43" s="201">
        <f t="shared" si="10"/>
        <v>0</v>
      </c>
      <c r="W43" s="201">
        <f t="shared" si="10"/>
        <v>1498287.23</v>
      </c>
      <c r="X43" s="249"/>
      <c r="Y43" s="201"/>
      <c r="Z43" s="201"/>
      <c r="AA43" s="201"/>
      <c r="AB43" s="201"/>
      <c r="AC43" s="201"/>
      <c r="AD43" s="201"/>
      <c r="AE43" s="221"/>
      <c r="AF43" s="222"/>
      <c r="AG43" s="222"/>
      <c r="AH43" s="146"/>
      <c r="AI43" s="146"/>
    </row>
    <row r="44" spans="1:37" x14ac:dyDescent="0.3">
      <c r="A44" s="416" t="s">
        <v>148</v>
      </c>
      <c r="B44" s="417"/>
      <c r="C44" s="98">
        <f>C43+C35+C40</f>
        <v>5685741.8300000001</v>
      </c>
      <c r="D44" s="98">
        <f t="shared" ref="D44:W44" si="11">D43+D35+D40</f>
        <v>0</v>
      </c>
      <c r="E44" s="98">
        <f t="shared" si="11"/>
        <v>0</v>
      </c>
      <c r="F44" s="98">
        <f t="shared" si="11"/>
        <v>0</v>
      </c>
      <c r="G44" s="98">
        <f t="shared" si="11"/>
        <v>0</v>
      </c>
      <c r="H44" s="98">
        <f t="shared" si="11"/>
        <v>0</v>
      </c>
      <c r="I44" s="98">
        <f t="shared" si="11"/>
        <v>0</v>
      </c>
      <c r="J44" s="98">
        <f t="shared" si="11"/>
        <v>0</v>
      </c>
      <c r="K44" s="98">
        <f t="shared" si="11"/>
        <v>0</v>
      </c>
      <c r="L44" s="98">
        <f t="shared" si="11"/>
        <v>0</v>
      </c>
      <c r="M44" s="98">
        <f t="shared" si="11"/>
        <v>0</v>
      </c>
      <c r="N44" s="98">
        <f t="shared" si="11"/>
        <v>0</v>
      </c>
      <c r="O44" s="98">
        <f t="shared" si="11"/>
        <v>0</v>
      </c>
      <c r="P44" s="98">
        <f t="shared" si="11"/>
        <v>0</v>
      </c>
      <c r="Q44" s="98">
        <f t="shared" si="11"/>
        <v>0</v>
      </c>
      <c r="R44" s="98">
        <f t="shared" si="11"/>
        <v>0</v>
      </c>
      <c r="S44" s="98">
        <f t="shared" si="11"/>
        <v>0</v>
      </c>
      <c r="T44" s="98">
        <f t="shared" si="11"/>
        <v>0</v>
      </c>
      <c r="U44" s="98">
        <f t="shared" si="11"/>
        <v>0</v>
      </c>
      <c r="V44" s="98">
        <f t="shared" si="11"/>
        <v>0</v>
      </c>
      <c r="W44" s="98">
        <f t="shared" si="11"/>
        <v>5685741.8300000001</v>
      </c>
      <c r="X44" s="152"/>
      <c r="Y44" s="19"/>
      <c r="Z44" s="194"/>
      <c r="AA44" s="195"/>
      <c r="AB44" s="195"/>
      <c r="AC44" s="146"/>
      <c r="AD44" s="146"/>
      <c r="AE44" s="146"/>
    </row>
    <row r="45" spans="1:37" ht="15" customHeight="1" x14ac:dyDescent="0.3">
      <c r="A45" s="445" t="s">
        <v>44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7"/>
      <c r="X45" s="276"/>
      <c r="Y45" s="19"/>
      <c r="Z45" s="149"/>
      <c r="AA45" s="146"/>
      <c r="AB45" s="146"/>
      <c r="AC45" s="146"/>
      <c r="AD45" s="146"/>
      <c r="AE45" s="146"/>
    </row>
    <row r="46" spans="1:37" ht="15" customHeight="1" x14ac:dyDescent="0.3">
      <c r="A46" s="277" t="s">
        <v>46</v>
      </c>
      <c r="B46" s="229"/>
      <c r="C46" s="201"/>
      <c r="D46" s="201"/>
      <c r="E46" s="201"/>
      <c r="F46" s="201"/>
      <c r="G46" s="201"/>
      <c r="H46" s="201"/>
      <c r="I46" s="201">
        <v>0</v>
      </c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152"/>
      <c r="Y46" s="19"/>
      <c r="Z46" s="194"/>
      <c r="AA46" s="195"/>
      <c r="AB46" s="195"/>
      <c r="AC46" s="146"/>
      <c r="AD46" s="146"/>
      <c r="AE46" s="146"/>
    </row>
    <row r="47" spans="1:37" x14ac:dyDescent="0.3">
      <c r="A47" s="27">
        <f>A42+1</f>
        <v>18</v>
      </c>
      <c r="B47" s="250" t="s">
        <v>47</v>
      </c>
      <c r="C47" s="201">
        <f t="shared" ref="C47:C57" si="12">D47+K47+L47+N47+P47+R47+U47+S47+V47+W47</f>
        <v>130000</v>
      </c>
      <c r="D47" s="201">
        <f t="shared" ref="D47:D57" si="13">E47+F47+G47+H47+I47</f>
        <v>0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>
        <v>130000</v>
      </c>
      <c r="X47" s="152"/>
      <c r="AD47" s="152">
        <v>130000</v>
      </c>
      <c r="AE47" s="19"/>
      <c r="AF47" s="149">
        <v>0</v>
      </c>
      <c r="AG47" s="146"/>
      <c r="AH47" s="146"/>
      <c r="AI47" s="146"/>
      <c r="AJ47" s="146" t="s">
        <v>48</v>
      </c>
      <c r="AK47" s="146"/>
    </row>
    <row r="48" spans="1:37" x14ac:dyDescent="0.3">
      <c r="A48" s="28">
        <f t="shared" ref="A48:A57" si="14">A47+1</f>
        <v>19</v>
      </c>
      <c r="B48" s="250" t="s">
        <v>49</v>
      </c>
      <c r="C48" s="201">
        <f t="shared" si="12"/>
        <v>130000</v>
      </c>
      <c r="D48" s="201">
        <f t="shared" si="13"/>
        <v>0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>
        <v>130000</v>
      </c>
      <c r="X48" s="152"/>
      <c r="AD48" s="152">
        <v>130000</v>
      </c>
      <c r="AE48" s="19"/>
      <c r="AF48" s="149"/>
      <c r="AG48" s="146"/>
      <c r="AH48" s="146"/>
      <c r="AI48" s="146"/>
      <c r="AJ48" s="146"/>
      <c r="AK48" s="146"/>
    </row>
    <row r="49" spans="1:37" x14ac:dyDescent="0.3">
      <c r="A49" s="171">
        <f t="shared" si="14"/>
        <v>20</v>
      </c>
      <c r="B49" s="262" t="s">
        <v>152</v>
      </c>
      <c r="C49" s="59">
        <f>D49+K49+L49+N49+P49+R49+U49+S49+V49+W49</f>
        <v>692536.12</v>
      </c>
      <c r="D49" s="59">
        <f t="shared" si="13"/>
        <v>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>
        <f t="shared" ref="W49:W62" si="15">SUM(AD49:AH49)</f>
        <v>692536.12</v>
      </c>
      <c r="X49" s="152"/>
      <c r="AD49" s="278">
        <v>245691.36</v>
      </c>
      <c r="AF49" s="278">
        <v>446844.76</v>
      </c>
      <c r="AG49" s="278"/>
      <c r="AH49" s="146"/>
      <c r="AI49" s="146"/>
      <c r="AJ49" s="146" t="s">
        <v>50</v>
      </c>
      <c r="AK49" s="146"/>
    </row>
    <row r="50" spans="1:37" x14ac:dyDescent="0.3">
      <c r="A50" s="171">
        <f t="shared" si="14"/>
        <v>21</v>
      </c>
      <c r="B50" s="262" t="s">
        <v>153</v>
      </c>
      <c r="C50" s="59">
        <f t="shared" si="12"/>
        <v>2302330.79</v>
      </c>
      <c r="D50" s="59">
        <f t="shared" si="13"/>
        <v>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201">
        <f>SUM(Z50:AG50)</f>
        <v>2302330.79</v>
      </c>
      <c r="X50" s="152"/>
      <c r="AD50" s="152"/>
      <c r="AE50" s="19"/>
      <c r="AF50" s="149"/>
      <c r="AG50" s="278">
        <v>2302330.79</v>
      </c>
      <c r="AH50" s="146"/>
      <c r="AI50" s="146"/>
      <c r="AJ50" s="146" t="s">
        <v>154</v>
      </c>
      <c r="AK50" s="146"/>
    </row>
    <row r="51" spans="1:37" x14ac:dyDescent="0.3">
      <c r="A51" s="171">
        <f t="shared" si="14"/>
        <v>22</v>
      </c>
      <c r="B51" s="250" t="s">
        <v>51</v>
      </c>
      <c r="C51" s="201">
        <f t="shared" si="12"/>
        <v>862328.91000000015</v>
      </c>
      <c r="D51" s="201">
        <f t="shared" si="13"/>
        <v>0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>
        <f>SUM(Z51:AG51)</f>
        <v>862328.91000000015</v>
      </c>
      <c r="X51" s="152"/>
      <c r="Z51" s="229">
        <v>144277.54</v>
      </c>
      <c r="AC51" s="229">
        <v>142833</v>
      </c>
      <c r="AD51" s="278">
        <v>182291.03</v>
      </c>
      <c r="AE51" s="278"/>
      <c r="AF51" s="278">
        <v>227183.64</v>
      </c>
      <c r="AG51" s="278">
        <v>165743.70000000001</v>
      </c>
      <c r="AH51" s="146"/>
      <c r="AI51" s="146"/>
      <c r="AJ51" s="146" t="s">
        <v>52</v>
      </c>
      <c r="AK51" s="146"/>
    </row>
    <row r="52" spans="1:37" x14ac:dyDescent="0.3">
      <c r="A52" s="171">
        <f t="shared" si="14"/>
        <v>23</v>
      </c>
      <c r="B52" s="250" t="s">
        <v>53</v>
      </c>
      <c r="C52" s="201">
        <f t="shared" si="12"/>
        <v>782831.04</v>
      </c>
      <c r="D52" s="201">
        <f t="shared" si="13"/>
        <v>0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>
        <f t="shared" si="15"/>
        <v>782831.04</v>
      </c>
      <c r="X52" s="152"/>
      <c r="AD52" s="152">
        <v>192109.85</v>
      </c>
      <c r="AF52" s="152">
        <v>361408.49</v>
      </c>
      <c r="AG52" s="152">
        <v>229312.7</v>
      </c>
      <c r="AH52" s="152"/>
      <c r="AI52" s="146"/>
      <c r="AJ52" s="146" t="s">
        <v>50</v>
      </c>
      <c r="AK52" s="146"/>
    </row>
    <row r="53" spans="1:37" x14ac:dyDescent="0.3">
      <c r="A53" s="171">
        <f t="shared" si="14"/>
        <v>24</v>
      </c>
      <c r="B53" s="262" t="s">
        <v>155</v>
      </c>
      <c r="C53" s="59">
        <f t="shared" si="12"/>
        <v>542850.34</v>
      </c>
      <c r="D53" s="59">
        <f t="shared" si="13"/>
        <v>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>
        <f t="shared" si="15"/>
        <v>542850.34</v>
      </c>
      <c r="X53" s="152"/>
      <c r="AD53" s="152">
        <v>124426.43</v>
      </c>
      <c r="AF53" s="152">
        <v>251418.06</v>
      </c>
      <c r="AG53" s="152">
        <v>167005.85</v>
      </c>
      <c r="AH53" s="152"/>
      <c r="AI53" s="146"/>
      <c r="AJ53" s="146" t="s">
        <v>50</v>
      </c>
      <c r="AK53" s="146"/>
    </row>
    <row r="54" spans="1:37" x14ac:dyDescent="0.3">
      <c r="A54" s="171">
        <f t="shared" si="14"/>
        <v>25</v>
      </c>
      <c r="B54" s="250" t="s">
        <v>55</v>
      </c>
      <c r="C54" s="201">
        <f t="shared" si="12"/>
        <v>858673.53999999992</v>
      </c>
      <c r="D54" s="201">
        <f t="shared" si="13"/>
        <v>0</v>
      </c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>
        <f t="shared" si="15"/>
        <v>858673.53999999992</v>
      </c>
      <c r="X54" s="152"/>
      <c r="AD54" s="152">
        <v>225906.61</v>
      </c>
      <c r="AF54" s="152">
        <v>406499.81</v>
      </c>
      <c r="AG54" s="152">
        <v>226267.12</v>
      </c>
      <c r="AH54" s="146"/>
      <c r="AI54" s="146"/>
      <c r="AJ54" s="146" t="s">
        <v>54</v>
      </c>
      <c r="AK54" s="146"/>
    </row>
    <row r="55" spans="1:37" x14ac:dyDescent="0.3">
      <c r="A55" s="171">
        <f t="shared" si="14"/>
        <v>26</v>
      </c>
      <c r="B55" s="262" t="s">
        <v>156</v>
      </c>
      <c r="C55" s="59">
        <f t="shared" si="12"/>
        <v>881946.48</v>
      </c>
      <c r="D55" s="59">
        <f t="shared" si="13"/>
        <v>393267</v>
      </c>
      <c r="E55" s="59">
        <f>(2688*13)+(358323*1)</f>
        <v>393267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>
        <v>13</v>
      </c>
      <c r="R55" s="59">
        <v>182039</v>
      </c>
      <c r="S55" s="59"/>
      <c r="T55" s="59"/>
      <c r="U55" s="59"/>
      <c r="V55" s="59"/>
      <c r="W55" s="59">
        <f t="shared" si="15"/>
        <v>306640.48</v>
      </c>
      <c r="X55" s="152"/>
      <c r="AD55" s="152">
        <v>190327.96</v>
      </c>
      <c r="AF55" s="152"/>
      <c r="AG55" s="152">
        <v>116312.52</v>
      </c>
      <c r="AH55" s="146"/>
      <c r="AI55" s="146"/>
      <c r="AJ55" s="146" t="s">
        <v>54</v>
      </c>
      <c r="AK55" s="146"/>
    </row>
    <row r="56" spans="1:37" x14ac:dyDescent="0.3">
      <c r="A56" s="171">
        <f t="shared" si="14"/>
        <v>27</v>
      </c>
      <c r="B56" s="262" t="s">
        <v>157</v>
      </c>
      <c r="C56" s="59">
        <f t="shared" si="12"/>
        <v>776662.74</v>
      </c>
      <c r="D56" s="59">
        <f t="shared" si="13"/>
        <v>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>
        <f t="shared" si="15"/>
        <v>776662.74</v>
      </c>
      <c r="X56" s="152"/>
      <c r="AD56" s="152">
        <v>204527.29</v>
      </c>
      <c r="AF56" s="152">
        <v>372243.46</v>
      </c>
      <c r="AG56" s="152">
        <v>199891.99</v>
      </c>
      <c r="AH56" s="146"/>
      <c r="AI56" s="146"/>
      <c r="AJ56" s="146" t="s">
        <v>50</v>
      </c>
      <c r="AK56" s="146"/>
    </row>
    <row r="57" spans="1:37" x14ac:dyDescent="0.3">
      <c r="A57" s="171">
        <f t="shared" si="14"/>
        <v>28</v>
      </c>
      <c r="B57" s="262" t="s">
        <v>158</v>
      </c>
      <c r="C57" s="59">
        <f t="shared" si="12"/>
        <v>803479.8</v>
      </c>
      <c r="D57" s="59">
        <f t="shared" si="13"/>
        <v>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>
        <f t="shared" si="15"/>
        <v>803479.8</v>
      </c>
      <c r="X57" s="152"/>
      <c r="AD57" s="152">
        <f>158307.02+208426.63+166480.57</f>
        <v>533214.22</v>
      </c>
      <c r="AF57" s="152">
        <v>270265.58</v>
      </c>
      <c r="AG57" s="152"/>
      <c r="AH57" s="146"/>
      <c r="AI57" s="146"/>
      <c r="AJ57" s="146" t="s">
        <v>160</v>
      </c>
      <c r="AK57" s="146"/>
    </row>
    <row r="58" spans="1:37" x14ac:dyDescent="0.3">
      <c r="A58" s="171">
        <f>A57+1</f>
        <v>29</v>
      </c>
      <c r="B58" s="253" t="s">
        <v>207</v>
      </c>
      <c r="C58" s="35">
        <f>D58+K58+L58+N58+P58+R58+U58+S58+V58+W58</f>
        <v>133829</v>
      </c>
      <c r="D58" s="35">
        <f>E58+F58+G58+H58+I58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>
        <f t="shared" si="15"/>
        <v>133829</v>
      </c>
      <c r="X58" s="152"/>
      <c r="AD58" s="152"/>
      <c r="AF58" s="19"/>
      <c r="AG58" s="194">
        <v>133829</v>
      </c>
      <c r="AH58" s="146"/>
      <c r="AI58" s="146"/>
      <c r="AJ58" s="146" t="s">
        <v>208</v>
      </c>
      <c r="AK58" s="146"/>
    </row>
    <row r="59" spans="1:37" x14ac:dyDescent="0.3">
      <c r="A59" s="171">
        <f>A58+1</f>
        <v>30</v>
      </c>
      <c r="B59" s="250" t="s">
        <v>57</v>
      </c>
      <c r="C59" s="201">
        <f>D59+K59+L59+N59+P59+R59+U59+S59+V59+W59</f>
        <v>777297.84</v>
      </c>
      <c r="D59" s="201">
        <f>E59+F59+G59+H59+I59</f>
        <v>0</v>
      </c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>
        <f t="shared" si="15"/>
        <v>777297.84</v>
      </c>
      <c r="X59" s="152"/>
      <c r="AD59" s="152">
        <v>226431.67</v>
      </c>
      <c r="AF59" s="19">
        <v>407341.18</v>
      </c>
      <c r="AG59" s="194">
        <v>143524.99</v>
      </c>
      <c r="AH59" s="195"/>
      <c r="AI59" s="146"/>
      <c r="AJ59" s="146" t="s">
        <v>45</v>
      </c>
      <c r="AK59" s="146"/>
    </row>
    <row r="60" spans="1:37" x14ac:dyDescent="0.3">
      <c r="A60" s="171">
        <f>A59+1</f>
        <v>31</v>
      </c>
      <c r="B60" s="250" t="s">
        <v>58</v>
      </c>
      <c r="C60" s="201">
        <f>D60+K60+L60+N60+P60+R60+U60+S60+V60+W60</f>
        <v>729079.54</v>
      </c>
      <c r="D60" s="201">
        <f>E60+F60+G60+H60+I60</f>
        <v>0</v>
      </c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>
        <f t="shared" si="15"/>
        <v>729079.54</v>
      </c>
      <c r="X60" s="152"/>
      <c r="AD60" s="152">
        <v>192824.94</v>
      </c>
      <c r="AF60" s="19">
        <v>353492.6</v>
      </c>
      <c r="AG60" s="194">
        <v>182762</v>
      </c>
      <c r="AH60" s="195"/>
      <c r="AI60" s="146"/>
      <c r="AJ60" s="146" t="s">
        <v>45</v>
      </c>
      <c r="AK60" s="146"/>
    </row>
    <row r="61" spans="1:37" x14ac:dyDescent="0.3">
      <c r="A61" s="28">
        <f>A60+1</f>
        <v>32</v>
      </c>
      <c r="B61" s="250" t="s">
        <v>59</v>
      </c>
      <c r="C61" s="201">
        <f>D61+K61+L61+N61+P61+R61+U61+S61+V61+W61</f>
        <v>729079.54</v>
      </c>
      <c r="D61" s="201">
        <f>E61+F61+G61+H61+I61</f>
        <v>0</v>
      </c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>
        <f t="shared" si="15"/>
        <v>729079.54</v>
      </c>
      <c r="X61" s="152"/>
      <c r="AD61" s="152">
        <v>192824.94</v>
      </c>
      <c r="AF61" s="19">
        <v>353492.6</v>
      </c>
      <c r="AG61" s="194">
        <v>182762</v>
      </c>
      <c r="AH61" s="195"/>
      <c r="AI61" s="146"/>
      <c r="AJ61" s="146" t="s">
        <v>45</v>
      </c>
      <c r="AK61" s="146"/>
    </row>
    <row r="62" spans="1:37" x14ac:dyDescent="0.3">
      <c r="A62" s="28">
        <f>A61+1</f>
        <v>33</v>
      </c>
      <c r="B62" s="250" t="s">
        <v>60</v>
      </c>
      <c r="C62" s="201">
        <f>D62+K62+L62+N62+P62+R62+U62+S62+V62+W62</f>
        <v>859792.65999999992</v>
      </c>
      <c r="D62" s="201">
        <f>E62+F62+G62+H62+I62</f>
        <v>0</v>
      </c>
      <c r="E62" s="201"/>
      <c r="F62" s="201"/>
      <c r="G62" s="201">
        <v>0</v>
      </c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>
        <f t="shared" si="15"/>
        <v>859792.65999999992</v>
      </c>
      <c r="X62" s="152"/>
      <c r="AD62" s="152">
        <v>227428.31</v>
      </c>
      <c r="AF62" s="19">
        <v>408938.11</v>
      </c>
      <c r="AG62" s="194">
        <v>223426.24</v>
      </c>
      <c r="AH62" s="195"/>
      <c r="AI62" s="146"/>
      <c r="AJ62" s="146" t="s">
        <v>45</v>
      </c>
      <c r="AK62" s="146"/>
    </row>
    <row r="63" spans="1:37" x14ac:dyDescent="0.3">
      <c r="A63" s="438" t="s">
        <v>35</v>
      </c>
      <c r="B63" s="439"/>
      <c r="C63" s="201">
        <f>SUM(C47:C62)</f>
        <v>11992718.34</v>
      </c>
      <c r="D63" s="201">
        <f t="shared" ref="D63:W63" si="16">SUM(D47:D62)</f>
        <v>393267</v>
      </c>
      <c r="E63" s="201">
        <f t="shared" si="16"/>
        <v>393267</v>
      </c>
      <c r="F63" s="201">
        <f t="shared" si="16"/>
        <v>0</v>
      </c>
      <c r="G63" s="201">
        <f t="shared" si="16"/>
        <v>0</v>
      </c>
      <c r="H63" s="201">
        <f t="shared" si="16"/>
        <v>0</v>
      </c>
      <c r="I63" s="201">
        <f t="shared" si="16"/>
        <v>0</v>
      </c>
      <c r="J63" s="201">
        <f t="shared" si="16"/>
        <v>0</v>
      </c>
      <c r="K63" s="201">
        <f t="shared" si="16"/>
        <v>0</v>
      </c>
      <c r="L63" s="201">
        <f t="shared" si="16"/>
        <v>0</v>
      </c>
      <c r="M63" s="201">
        <f t="shared" si="16"/>
        <v>0</v>
      </c>
      <c r="N63" s="201">
        <f t="shared" si="16"/>
        <v>0</v>
      </c>
      <c r="O63" s="201">
        <f t="shared" si="16"/>
        <v>0</v>
      </c>
      <c r="P63" s="201">
        <f t="shared" si="16"/>
        <v>0</v>
      </c>
      <c r="Q63" s="201">
        <f t="shared" si="16"/>
        <v>13</v>
      </c>
      <c r="R63" s="201">
        <f t="shared" si="16"/>
        <v>182039</v>
      </c>
      <c r="S63" s="201">
        <f t="shared" si="16"/>
        <v>0</v>
      </c>
      <c r="T63" s="201">
        <f t="shared" si="16"/>
        <v>0</v>
      </c>
      <c r="U63" s="201">
        <f t="shared" si="16"/>
        <v>0</v>
      </c>
      <c r="V63" s="201">
        <f t="shared" si="16"/>
        <v>0</v>
      </c>
      <c r="W63" s="201">
        <f t="shared" si="16"/>
        <v>11417412.34</v>
      </c>
      <c r="X63" s="152"/>
      <c r="Y63" s="19"/>
      <c r="Z63" s="194"/>
      <c r="AA63" s="195"/>
      <c r="AB63" s="195"/>
      <c r="AC63" s="146"/>
      <c r="AD63" s="146"/>
      <c r="AE63" s="146"/>
    </row>
    <row r="64" spans="1:37" x14ac:dyDescent="0.3">
      <c r="A64" s="436" t="s">
        <v>61</v>
      </c>
      <c r="B64" s="437"/>
      <c r="C64" s="205">
        <f t="shared" ref="C64:W64" si="17">C63</f>
        <v>11992718.34</v>
      </c>
      <c r="D64" s="205">
        <f t="shared" si="17"/>
        <v>393267</v>
      </c>
      <c r="E64" s="205">
        <f t="shared" si="17"/>
        <v>393267</v>
      </c>
      <c r="F64" s="205">
        <f t="shared" si="17"/>
        <v>0</v>
      </c>
      <c r="G64" s="205">
        <f t="shared" si="17"/>
        <v>0</v>
      </c>
      <c r="H64" s="205">
        <f t="shared" si="17"/>
        <v>0</v>
      </c>
      <c r="I64" s="205">
        <f t="shared" si="17"/>
        <v>0</v>
      </c>
      <c r="J64" s="205">
        <f t="shared" si="17"/>
        <v>0</v>
      </c>
      <c r="K64" s="205">
        <f t="shared" si="17"/>
        <v>0</v>
      </c>
      <c r="L64" s="205">
        <f t="shared" si="17"/>
        <v>0</v>
      </c>
      <c r="M64" s="205">
        <f t="shared" si="17"/>
        <v>0</v>
      </c>
      <c r="N64" s="205">
        <f t="shared" si="17"/>
        <v>0</v>
      </c>
      <c r="O64" s="205">
        <f t="shared" si="17"/>
        <v>0</v>
      </c>
      <c r="P64" s="205">
        <f t="shared" si="17"/>
        <v>0</v>
      </c>
      <c r="Q64" s="205">
        <f t="shared" si="17"/>
        <v>13</v>
      </c>
      <c r="R64" s="205">
        <f t="shared" si="17"/>
        <v>182039</v>
      </c>
      <c r="S64" s="205">
        <f t="shared" si="17"/>
        <v>0</v>
      </c>
      <c r="T64" s="205">
        <f t="shared" si="17"/>
        <v>0</v>
      </c>
      <c r="U64" s="205">
        <f t="shared" si="17"/>
        <v>0</v>
      </c>
      <c r="V64" s="205">
        <f t="shared" si="17"/>
        <v>0</v>
      </c>
      <c r="W64" s="205">
        <f t="shared" si="17"/>
        <v>11417412.34</v>
      </c>
      <c r="X64" s="152"/>
      <c r="Y64" s="19"/>
      <c r="Z64" s="194"/>
      <c r="AA64" s="195"/>
      <c r="AB64" s="195"/>
      <c r="AC64" s="146"/>
      <c r="AD64" s="146"/>
      <c r="AE64" s="146"/>
    </row>
    <row r="65" spans="1:36" ht="15" customHeight="1" x14ac:dyDescent="0.3">
      <c r="A65" s="445" t="s">
        <v>62</v>
      </c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7"/>
      <c r="X65" s="279"/>
      <c r="Y65" s="152"/>
      <c r="Z65" s="152"/>
      <c r="AA65" s="152"/>
      <c r="AB65" s="152"/>
      <c r="AC65" s="152"/>
      <c r="AD65" s="152"/>
      <c r="AE65" s="19"/>
      <c r="AF65" s="149"/>
      <c r="AG65" s="146"/>
      <c r="AH65" s="146"/>
      <c r="AI65" s="146"/>
      <c r="AJ65" s="146"/>
    </row>
    <row r="66" spans="1:36" ht="15" customHeight="1" x14ac:dyDescent="0.3">
      <c r="A66" s="277" t="s">
        <v>63</v>
      </c>
      <c r="B66" s="229"/>
      <c r="C66" s="201"/>
      <c r="D66" s="201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80"/>
      <c r="Y66" s="152"/>
      <c r="Z66" s="152"/>
      <c r="AA66" s="152"/>
      <c r="AB66" s="152"/>
      <c r="AC66" s="152"/>
      <c r="AD66" s="152"/>
      <c r="AE66" s="19"/>
      <c r="AF66" s="149"/>
      <c r="AG66" s="146"/>
      <c r="AH66" s="146"/>
      <c r="AI66" s="146"/>
      <c r="AJ66" s="146"/>
    </row>
    <row r="67" spans="1:36" x14ac:dyDescent="0.3">
      <c r="A67" s="28">
        <f>A62+1</f>
        <v>34</v>
      </c>
      <c r="B67" s="250" t="s">
        <v>64</v>
      </c>
      <c r="C67" s="201">
        <f>D67+K67+L67+N67+P67+R67+S67+U67+V67+W67</f>
        <v>34944</v>
      </c>
      <c r="D67" s="201">
        <f>E67+F67+G67+H67+I67</f>
        <v>34944</v>
      </c>
      <c r="E67" s="201">
        <f>13*2688</f>
        <v>34944</v>
      </c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49"/>
      <c r="Y67" s="201"/>
      <c r="Z67" s="152"/>
      <c r="AA67" s="152"/>
      <c r="AB67" s="152"/>
      <c r="AC67" s="152"/>
      <c r="AD67" s="152"/>
      <c r="AE67" s="152"/>
      <c r="AF67" s="19"/>
      <c r="AG67" s="149"/>
      <c r="AH67" s="146"/>
      <c r="AI67" s="146"/>
      <c r="AJ67" s="146"/>
    </row>
    <row r="68" spans="1:36" x14ac:dyDescent="0.3">
      <c r="A68" s="28">
        <f>A67+1</f>
        <v>35</v>
      </c>
      <c r="B68" s="253" t="s">
        <v>145</v>
      </c>
      <c r="C68" s="201">
        <f>D68+K68+L68+N68+P68+R68+S68+U68+V68+W68</f>
        <v>110000</v>
      </c>
      <c r="D68" s="201">
        <f>E68+F68+G68+H68+I68</f>
        <v>110000</v>
      </c>
      <c r="E68" s="35">
        <v>110000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281"/>
      <c r="Y68" s="152"/>
      <c r="Z68" s="152"/>
      <c r="AA68" s="152"/>
      <c r="AB68" s="152"/>
      <c r="AC68" s="152"/>
      <c r="AD68" s="152"/>
      <c r="AE68" s="152"/>
      <c r="AF68" s="19"/>
      <c r="AG68" s="149"/>
      <c r="AH68" s="146"/>
      <c r="AI68" s="146"/>
      <c r="AJ68" s="146"/>
    </row>
    <row r="69" spans="1:36" x14ac:dyDescent="0.3">
      <c r="A69" s="438" t="s">
        <v>35</v>
      </c>
      <c r="B69" s="439"/>
      <c r="C69" s="201">
        <f>SUM(C67:C68)</f>
        <v>144944</v>
      </c>
      <c r="D69" s="201">
        <f t="shared" ref="D69:W69" si="18">SUM(D67:D68)</f>
        <v>144944</v>
      </c>
      <c r="E69" s="201">
        <f t="shared" si="18"/>
        <v>144944</v>
      </c>
      <c r="F69" s="201">
        <f t="shared" si="18"/>
        <v>0</v>
      </c>
      <c r="G69" s="201">
        <f t="shared" si="18"/>
        <v>0</v>
      </c>
      <c r="H69" s="201">
        <f t="shared" si="18"/>
        <v>0</v>
      </c>
      <c r="I69" s="201">
        <f t="shared" si="18"/>
        <v>0</v>
      </c>
      <c r="J69" s="201">
        <f t="shared" si="18"/>
        <v>0</v>
      </c>
      <c r="K69" s="201">
        <f t="shared" si="18"/>
        <v>0</v>
      </c>
      <c r="L69" s="201">
        <f t="shared" si="18"/>
        <v>0</v>
      </c>
      <c r="M69" s="201">
        <f t="shared" si="18"/>
        <v>0</v>
      </c>
      <c r="N69" s="201">
        <f t="shared" si="18"/>
        <v>0</v>
      </c>
      <c r="O69" s="201">
        <f t="shared" si="18"/>
        <v>0</v>
      </c>
      <c r="P69" s="201">
        <f t="shared" si="18"/>
        <v>0</v>
      </c>
      <c r="Q69" s="201">
        <f t="shared" si="18"/>
        <v>0</v>
      </c>
      <c r="R69" s="201">
        <f t="shared" si="18"/>
        <v>0</v>
      </c>
      <c r="S69" s="201">
        <f t="shared" si="18"/>
        <v>0</v>
      </c>
      <c r="T69" s="201">
        <f t="shared" si="18"/>
        <v>0</v>
      </c>
      <c r="U69" s="201">
        <f t="shared" si="18"/>
        <v>0</v>
      </c>
      <c r="V69" s="201">
        <f t="shared" si="18"/>
        <v>0</v>
      </c>
      <c r="W69" s="201">
        <f t="shared" si="18"/>
        <v>0</v>
      </c>
      <c r="X69" s="249"/>
      <c r="Y69" s="152"/>
      <c r="Z69" s="152"/>
      <c r="AA69" s="152"/>
      <c r="AB69" s="152"/>
      <c r="AC69" s="152"/>
      <c r="AD69" s="152"/>
      <c r="AE69" s="19"/>
      <c r="AF69" s="149"/>
      <c r="AG69" s="146"/>
      <c r="AH69" s="146"/>
      <c r="AI69" s="146"/>
      <c r="AJ69" s="146"/>
    </row>
    <row r="70" spans="1:36" x14ac:dyDescent="0.3">
      <c r="A70" s="436" t="s">
        <v>149</v>
      </c>
      <c r="B70" s="437"/>
      <c r="C70" s="282">
        <f t="shared" ref="C70:W70" si="19">SUM(C69)</f>
        <v>144944</v>
      </c>
      <c r="D70" s="282">
        <f t="shared" si="19"/>
        <v>144944</v>
      </c>
      <c r="E70" s="98">
        <f t="shared" si="19"/>
        <v>144944</v>
      </c>
      <c r="F70" s="98">
        <f t="shared" si="19"/>
        <v>0</v>
      </c>
      <c r="G70" s="98">
        <f t="shared" si="19"/>
        <v>0</v>
      </c>
      <c r="H70" s="98">
        <f t="shared" si="19"/>
        <v>0</v>
      </c>
      <c r="I70" s="98">
        <f t="shared" si="19"/>
        <v>0</v>
      </c>
      <c r="J70" s="98">
        <f t="shared" si="19"/>
        <v>0</v>
      </c>
      <c r="K70" s="98">
        <f t="shared" si="19"/>
        <v>0</v>
      </c>
      <c r="L70" s="98">
        <f t="shared" si="19"/>
        <v>0</v>
      </c>
      <c r="M70" s="98">
        <f t="shared" si="19"/>
        <v>0</v>
      </c>
      <c r="N70" s="98">
        <f t="shared" si="19"/>
        <v>0</v>
      </c>
      <c r="O70" s="98">
        <f t="shared" si="19"/>
        <v>0</v>
      </c>
      <c r="P70" s="98">
        <f t="shared" si="19"/>
        <v>0</v>
      </c>
      <c r="Q70" s="98">
        <f t="shared" si="19"/>
        <v>0</v>
      </c>
      <c r="R70" s="98">
        <f t="shared" si="19"/>
        <v>0</v>
      </c>
      <c r="S70" s="98">
        <f t="shared" si="19"/>
        <v>0</v>
      </c>
      <c r="T70" s="98">
        <f t="shared" si="19"/>
        <v>0</v>
      </c>
      <c r="U70" s="98">
        <f t="shared" si="19"/>
        <v>0</v>
      </c>
      <c r="V70" s="98">
        <f t="shared" si="19"/>
        <v>0</v>
      </c>
      <c r="W70" s="98">
        <f t="shared" si="19"/>
        <v>0</v>
      </c>
      <c r="X70" s="152"/>
      <c r="Y70" s="152"/>
      <c r="Z70" s="152"/>
      <c r="AA70" s="152"/>
      <c r="AB70" s="152"/>
      <c r="AC70" s="152"/>
      <c r="AD70" s="152"/>
      <c r="AE70" s="19"/>
      <c r="AF70" s="149"/>
      <c r="AG70" s="146"/>
      <c r="AH70" s="146"/>
      <c r="AI70" s="146"/>
      <c r="AJ70" s="146"/>
    </row>
    <row r="71" spans="1:36" x14ac:dyDescent="0.3">
      <c r="A71" s="433" t="s">
        <v>67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5"/>
      <c r="X71" s="283"/>
      <c r="Y71" s="19"/>
      <c r="Z71" s="149"/>
      <c r="AA71" s="12"/>
      <c r="AB71" s="146"/>
      <c r="AC71" s="146"/>
      <c r="AD71" s="146"/>
    </row>
    <row r="72" spans="1:36" x14ac:dyDescent="0.3">
      <c r="A72" s="15" t="s">
        <v>290</v>
      </c>
      <c r="B72" s="103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284"/>
      <c r="X72" s="283"/>
      <c r="Y72" s="19"/>
      <c r="Z72" s="149"/>
      <c r="AA72" s="12"/>
      <c r="AB72" s="146"/>
      <c r="AC72" s="146"/>
      <c r="AD72" s="146"/>
    </row>
    <row r="73" spans="1:36" x14ac:dyDescent="0.3">
      <c r="A73" s="105">
        <f>A68+1</f>
        <v>36</v>
      </c>
      <c r="B73" s="106" t="s">
        <v>291</v>
      </c>
      <c r="C73" s="35">
        <f>D73+K73+L73+N73+P73+R73+S73+U73+V73+W73</f>
        <v>18041000</v>
      </c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114">
        <v>18041000</v>
      </c>
      <c r="S73" s="285"/>
      <c r="T73" s="285"/>
      <c r="U73" s="285"/>
      <c r="V73" s="285"/>
      <c r="W73" s="285"/>
      <c r="X73" s="283"/>
      <c r="Y73" s="19"/>
      <c r="Z73" s="149"/>
      <c r="AA73" s="12"/>
      <c r="AB73" s="146"/>
      <c r="AC73" s="146"/>
      <c r="AD73" s="146"/>
    </row>
    <row r="74" spans="1:36" x14ac:dyDescent="0.3">
      <c r="A74" s="108" t="s">
        <v>35</v>
      </c>
      <c r="B74" s="109"/>
      <c r="C74" s="201">
        <f t="shared" ref="C74:W74" si="20">SUM(C73:C73)</f>
        <v>18041000</v>
      </c>
      <c r="D74" s="201">
        <f t="shared" si="20"/>
        <v>0</v>
      </c>
      <c r="E74" s="201">
        <f t="shared" si="20"/>
        <v>0</v>
      </c>
      <c r="F74" s="201">
        <f t="shared" si="20"/>
        <v>0</v>
      </c>
      <c r="G74" s="201">
        <f t="shared" si="20"/>
        <v>0</v>
      </c>
      <c r="H74" s="201">
        <f t="shared" si="20"/>
        <v>0</v>
      </c>
      <c r="I74" s="201">
        <f t="shared" si="20"/>
        <v>0</v>
      </c>
      <c r="J74" s="201">
        <f t="shared" si="20"/>
        <v>0</v>
      </c>
      <c r="K74" s="201">
        <f t="shared" si="20"/>
        <v>0</v>
      </c>
      <c r="L74" s="201">
        <f t="shared" si="20"/>
        <v>0</v>
      </c>
      <c r="M74" s="201">
        <f t="shared" si="20"/>
        <v>0</v>
      </c>
      <c r="N74" s="201">
        <f t="shared" si="20"/>
        <v>0</v>
      </c>
      <c r="O74" s="201">
        <f t="shared" si="20"/>
        <v>0</v>
      </c>
      <c r="P74" s="201">
        <f t="shared" si="20"/>
        <v>0</v>
      </c>
      <c r="Q74" s="201">
        <f t="shared" si="20"/>
        <v>0</v>
      </c>
      <c r="R74" s="201">
        <f t="shared" si="20"/>
        <v>18041000</v>
      </c>
      <c r="S74" s="201">
        <f t="shared" si="20"/>
        <v>0</v>
      </c>
      <c r="T74" s="201">
        <f t="shared" si="20"/>
        <v>0</v>
      </c>
      <c r="U74" s="201">
        <f t="shared" si="20"/>
        <v>0</v>
      </c>
      <c r="V74" s="201">
        <f t="shared" si="20"/>
        <v>0</v>
      </c>
      <c r="W74" s="201">
        <f t="shared" si="20"/>
        <v>0</v>
      </c>
      <c r="X74" s="283"/>
      <c r="Y74" s="19"/>
      <c r="Z74" s="149"/>
      <c r="AA74" s="12"/>
      <c r="AB74" s="146"/>
      <c r="AC74" s="146"/>
      <c r="AD74" s="146"/>
    </row>
    <row r="75" spans="1:36" x14ac:dyDescent="0.3">
      <c r="A75" s="286" t="s">
        <v>68</v>
      </c>
      <c r="B75" s="247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152"/>
      <c r="Y75" s="19"/>
      <c r="Z75" s="194"/>
      <c r="AA75" s="19"/>
      <c r="AB75" s="195"/>
      <c r="AC75" s="195"/>
      <c r="AD75" s="195"/>
    </row>
    <row r="76" spans="1:36" x14ac:dyDescent="0.3">
      <c r="A76" s="27">
        <f>A73+1</f>
        <v>37</v>
      </c>
      <c r="B76" s="253" t="s">
        <v>210</v>
      </c>
      <c r="C76" s="35">
        <f>D76+K76+L76+N76+P76+R76+S76+U76+V76+W76</f>
        <v>130000</v>
      </c>
      <c r="D76" s="35">
        <f>E76+F76+G76+H76+I76</f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>
        <v>130000</v>
      </c>
      <c r="X76" s="152"/>
      <c r="Y76" s="19"/>
      <c r="Z76" s="194"/>
      <c r="AA76" s="19"/>
      <c r="AB76" s="195"/>
      <c r="AC76" s="195"/>
      <c r="AD76" s="195"/>
    </row>
    <row r="77" spans="1:36" x14ac:dyDescent="0.3">
      <c r="A77" s="28">
        <f>A76+1</f>
        <v>38</v>
      </c>
      <c r="B77" s="250" t="s">
        <v>69</v>
      </c>
      <c r="C77" s="201">
        <f>D77+K77+L77+N77+P77+R77+S77+U77+V77+W77</f>
        <v>130000</v>
      </c>
      <c r="D77" s="201">
        <f>E77+F77+G77+H77+I77</f>
        <v>0</v>
      </c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>
        <v>130000</v>
      </c>
      <c r="X77" s="152"/>
      <c r="Y77" s="19"/>
      <c r="Z77" s="194"/>
      <c r="AA77" s="19"/>
      <c r="AB77" s="195"/>
      <c r="AC77" s="195"/>
      <c r="AD77" s="195"/>
    </row>
    <row r="78" spans="1:36" x14ac:dyDescent="0.3">
      <c r="A78" s="28">
        <f>A77+1</f>
        <v>39</v>
      </c>
      <c r="B78" s="250" t="s">
        <v>70</v>
      </c>
      <c r="C78" s="201">
        <f>D78+K78+L78+N78+P78+R78+S78+U78+V78+W78</f>
        <v>130000</v>
      </c>
      <c r="D78" s="201">
        <f>E78+F78+G78+H78+I78</f>
        <v>0</v>
      </c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>
        <v>130000</v>
      </c>
      <c r="X78" s="152"/>
      <c r="Y78" s="19"/>
      <c r="Z78" s="194"/>
      <c r="AA78" s="19"/>
      <c r="AB78" s="195"/>
      <c r="AC78" s="195"/>
      <c r="AD78" s="195"/>
    </row>
    <row r="79" spans="1:36" x14ac:dyDescent="0.3">
      <c r="A79" s="28">
        <f>A78+1</f>
        <v>40</v>
      </c>
      <c r="B79" s="250" t="s">
        <v>71</v>
      </c>
      <c r="C79" s="201">
        <f>D79+K79+L79+N79+P79+R79+S79+U79+V79+W79</f>
        <v>130000</v>
      </c>
      <c r="D79" s="201">
        <f>E79+F79+G79+H79+I79</f>
        <v>0</v>
      </c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>
        <v>130000</v>
      </c>
      <c r="X79" s="152"/>
      <c r="Y79" s="19"/>
      <c r="Z79" s="194"/>
      <c r="AA79" s="19"/>
      <c r="AB79" s="195"/>
      <c r="AC79" s="195"/>
      <c r="AD79" s="195"/>
    </row>
    <row r="80" spans="1:36" x14ac:dyDescent="0.3">
      <c r="A80" s="287" t="s">
        <v>35</v>
      </c>
      <c r="B80" s="288"/>
      <c r="C80" s="201">
        <f>SUM(C76:C79)</f>
        <v>520000</v>
      </c>
      <c r="D80" s="201">
        <f t="shared" ref="D80:W80" si="21">SUM(D76:D79)</f>
        <v>0</v>
      </c>
      <c r="E80" s="201">
        <f t="shared" si="21"/>
        <v>0</v>
      </c>
      <c r="F80" s="201">
        <f t="shared" si="21"/>
        <v>0</v>
      </c>
      <c r="G80" s="201">
        <f t="shared" si="21"/>
        <v>0</v>
      </c>
      <c r="H80" s="201">
        <f t="shared" si="21"/>
        <v>0</v>
      </c>
      <c r="I80" s="201">
        <f t="shared" si="21"/>
        <v>0</v>
      </c>
      <c r="J80" s="201">
        <f t="shared" si="21"/>
        <v>0</v>
      </c>
      <c r="K80" s="201">
        <f t="shared" si="21"/>
        <v>0</v>
      </c>
      <c r="L80" s="201">
        <f t="shared" si="21"/>
        <v>0</v>
      </c>
      <c r="M80" s="201">
        <f t="shared" si="21"/>
        <v>0</v>
      </c>
      <c r="N80" s="201">
        <f t="shared" si="21"/>
        <v>0</v>
      </c>
      <c r="O80" s="201">
        <f t="shared" si="21"/>
        <v>0</v>
      </c>
      <c r="P80" s="201">
        <f t="shared" si="21"/>
        <v>0</v>
      </c>
      <c r="Q80" s="201">
        <f t="shared" si="21"/>
        <v>0</v>
      </c>
      <c r="R80" s="201">
        <f t="shared" si="21"/>
        <v>0</v>
      </c>
      <c r="S80" s="201">
        <f t="shared" si="21"/>
        <v>0</v>
      </c>
      <c r="T80" s="201">
        <f t="shared" si="21"/>
        <v>0</v>
      </c>
      <c r="U80" s="201">
        <f t="shared" si="21"/>
        <v>0</v>
      </c>
      <c r="V80" s="201">
        <f t="shared" si="21"/>
        <v>0</v>
      </c>
      <c r="W80" s="201">
        <f t="shared" si="21"/>
        <v>520000</v>
      </c>
      <c r="X80" s="152"/>
      <c r="Y80" s="19"/>
      <c r="Z80" s="194"/>
      <c r="AA80" s="19"/>
      <c r="AB80" s="195"/>
      <c r="AC80" s="195"/>
      <c r="AD80" s="195"/>
    </row>
    <row r="81" spans="1:35" x14ac:dyDescent="0.3">
      <c r="A81" s="289" t="s">
        <v>170</v>
      </c>
      <c r="B81" s="29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152"/>
      <c r="Y81" s="19"/>
      <c r="Z81" s="291"/>
      <c r="AA81" s="19"/>
      <c r="AB81" s="195"/>
      <c r="AC81" s="195"/>
      <c r="AD81" s="195"/>
    </row>
    <row r="82" spans="1:35" x14ac:dyDescent="0.3">
      <c r="A82" s="28">
        <f>A79+1</f>
        <v>41</v>
      </c>
      <c r="B82" s="262" t="s">
        <v>171</v>
      </c>
      <c r="C82" s="59">
        <f>D82+K82+L82+N82+P82+R82+S82+U82+V82+W82</f>
        <v>580271.29</v>
      </c>
      <c r="D82" s="59">
        <f>E82+F82+G82+H82+I82</f>
        <v>0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>
        <f>SUM(Y82:AD82)</f>
        <v>580271.29</v>
      </c>
      <c r="X82" s="152"/>
      <c r="Y82" s="19"/>
      <c r="Z82" s="291"/>
      <c r="AA82" s="19">
        <v>580271.29</v>
      </c>
      <c r="AB82" s="195"/>
      <c r="AC82" s="195"/>
      <c r="AD82" s="195"/>
    </row>
    <row r="83" spans="1:35" x14ac:dyDescent="0.3">
      <c r="A83" s="287" t="s">
        <v>35</v>
      </c>
      <c r="B83" s="288"/>
      <c r="C83" s="201">
        <f t="shared" ref="C83:W83" si="22">SUM(C82)</f>
        <v>580271.29</v>
      </c>
      <c r="D83" s="201">
        <f t="shared" si="22"/>
        <v>0</v>
      </c>
      <c r="E83" s="201">
        <f t="shared" si="22"/>
        <v>0</v>
      </c>
      <c r="F83" s="201">
        <f t="shared" si="22"/>
        <v>0</v>
      </c>
      <c r="G83" s="201">
        <f t="shared" si="22"/>
        <v>0</v>
      </c>
      <c r="H83" s="201">
        <f t="shared" si="22"/>
        <v>0</v>
      </c>
      <c r="I83" s="201">
        <f t="shared" si="22"/>
        <v>0</v>
      </c>
      <c r="J83" s="201">
        <f t="shared" si="22"/>
        <v>0</v>
      </c>
      <c r="K83" s="201">
        <f t="shared" si="22"/>
        <v>0</v>
      </c>
      <c r="L83" s="201">
        <f t="shared" si="22"/>
        <v>0</v>
      </c>
      <c r="M83" s="201">
        <f t="shared" si="22"/>
        <v>0</v>
      </c>
      <c r="N83" s="201">
        <f t="shared" si="22"/>
        <v>0</v>
      </c>
      <c r="O83" s="201">
        <f t="shared" si="22"/>
        <v>0</v>
      </c>
      <c r="P83" s="201">
        <f t="shared" si="22"/>
        <v>0</v>
      </c>
      <c r="Q83" s="201">
        <f t="shared" si="22"/>
        <v>0</v>
      </c>
      <c r="R83" s="201">
        <f t="shared" si="22"/>
        <v>0</v>
      </c>
      <c r="S83" s="201">
        <f t="shared" si="22"/>
        <v>0</v>
      </c>
      <c r="T83" s="201">
        <f t="shared" si="22"/>
        <v>0</v>
      </c>
      <c r="U83" s="201">
        <f t="shared" si="22"/>
        <v>0</v>
      </c>
      <c r="V83" s="201">
        <f t="shared" si="22"/>
        <v>0</v>
      </c>
      <c r="W83" s="201">
        <f t="shared" si="22"/>
        <v>580271.29</v>
      </c>
      <c r="X83" s="152"/>
      <c r="Y83" s="19"/>
      <c r="Z83" s="194"/>
      <c r="AA83" s="19"/>
      <c r="AB83" s="195"/>
      <c r="AC83" s="195"/>
      <c r="AD83" s="195"/>
    </row>
    <row r="84" spans="1:35" x14ac:dyDescent="0.3">
      <c r="A84" s="286" t="s">
        <v>72</v>
      </c>
      <c r="B84" s="247"/>
      <c r="C84" s="205">
        <f>C80+C83+C74</f>
        <v>19141271.289999999</v>
      </c>
      <c r="D84" s="205">
        <f t="shared" ref="D84:W84" si="23">D80+D83+D74</f>
        <v>0</v>
      </c>
      <c r="E84" s="205">
        <f t="shared" si="23"/>
        <v>0</v>
      </c>
      <c r="F84" s="205">
        <f t="shared" si="23"/>
        <v>0</v>
      </c>
      <c r="G84" s="205">
        <f t="shared" si="23"/>
        <v>0</v>
      </c>
      <c r="H84" s="205">
        <f t="shared" si="23"/>
        <v>0</v>
      </c>
      <c r="I84" s="205">
        <f t="shared" si="23"/>
        <v>0</v>
      </c>
      <c r="J84" s="205">
        <f t="shared" si="23"/>
        <v>0</v>
      </c>
      <c r="K84" s="205">
        <f t="shared" si="23"/>
        <v>0</v>
      </c>
      <c r="L84" s="205">
        <f t="shared" si="23"/>
        <v>0</v>
      </c>
      <c r="M84" s="205">
        <f t="shared" si="23"/>
        <v>0</v>
      </c>
      <c r="N84" s="205">
        <f t="shared" si="23"/>
        <v>0</v>
      </c>
      <c r="O84" s="205">
        <f t="shared" si="23"/>
        <v>0</v>
      </c>
      <c r="P84" s="205">
        <f t="shared" si="23"/>
        <v>0</v>
      </c>
      <c r="Q84" s="205">
        <f t="shared" si="23"/>
        <v>0</v>
      </c>
      <c r="R84" s="205">
        <f t="shared" si="23"/>
        <v>18041000</v>
      </c>
      <c r="S84" s="205">
        <f t="shared" si="23"/>
        <v>0</v>
      </c>
      <c r="T84" s="205">
        <f t="shared" si="23"/>
        <v>0</v>
      </c>
      <c r="U84" s="205">
        <f t="shared" si="23"/>
        <v>0</v>
      </c>
      <c r="V84" s="205">
        <f t="shared" si="23"/>
        <v>0</v>
      </c>
      <c r="W84" s="205">
        <f t="shared" si="23"/>
        <v>1100271.29</v>
      </c>
      <c r="X84" s="152"/>
      <c r="Y84" s="19"/>
      <c r="Z84" s="291"/>
      <c r="AA84" s="19"/>
      <c r="AB84" s="195"/>
      <c r="AC84" s="195"/>
      <c r="AD84" s="195"/>
    </row>
    <row r="85" spans="1:35" s="147" customFormat="1" x14ac:dyDescent="0.3">
      <c r="A85" s="442" t="s">
        <v>172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152">
        <f>C85-E85-F85-G85-H85-I85-N85-P85-R85-S85-U85-V85-W85</f>
        <v>0</v>
      </c>
      <c r="Y85" s="196"/>
      <c r="Z85" s="19"/>
      <c r="AA85" s="19"/>
      <c r="AB85" s="19"/>
      <c r="AC85" s="19"/>
      <c r="AD85" s="19"/>
      <c r="AE85" s="19"/>
      <c r="AF85" s="149"/>
      <c r="AG85" s="146"/>
      <c r="AH85" s="146"/>
      <c r="AI85" s="146"/>
    </row>
    <row r="86" spans="1:35" s="147" customFormat="1" ht="38.25" customHeight="1" x14ac:dyDescent="0.3">
      <c r="A86" s="440" t="s">
        <v>173</v>
      </c>
      <c r="B86" s="441"/>
      <c r="C86" s="192"/>
      <c r="D86" s="192"/>
      <c r="E86" s="192"/>
      <c r="F86" s="192"/>
      <c r="G86" s="192"/>
      <c r="H86" s="192"/>
      <c r="I86" s="192"/>
      <c r="J86" s="2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52">
        <f>C86-E86-F86-G86-H86-I86-N86-P86-R86-S86-U86-V86-W86</f>
        <v>0</v>
      </c>
      <c r="Y86" s="196"/>
      <c r="Z86" s="19"/>
      <c r="AA86" s="19"/>
      <c r="AB86" s="19"/>
      <c r="AC86" s="19"/>
      <c r="AD86" s="19"/>
      <c r="AE86" s="19"/>
      <c r="AF86" s="149"/>
      <c r="AG86" s="146"/>
      <c r="AH86" s="146"/>
      <c r="AI86" s="146"/>
    </row>
    <row r="87" spans="1:35" s="147" customFormat="1" ht="20.25" customHeight="1" x14ac:dyDescent="0.3">
      <c r="A87" s="28">
        <f>A82+1</f>
        <v>42</v>
      </c>
      <c r="B87" s="67" t="s">
        <v>174</v>
      </c>
      <c r="C87" s="59">
        <f>D87+K87+L87+N87+P87+R87+S87+U87+V87+W87</f>
        <v>23849624.359999999</v>
      </c>
      <c r="D87" s="59"/>
      <c r="E87" s="59"/>
      <c r="F87" s="59"/>
      <c r="G87" s="59"/>
      <c r="H87" s="59"/>
      <c r="I87" s="59"/>
      <c r="J87" s="56"/>
      <c r="K87" s="59"/>
      <c r="L87" s="59"/>
      <c r="M87" s="59"/>
      <c r="N87" s="59"/>
      <c r="O87" s="59"/>
      <c r="P87" s="59"/>
      <c r="Q87" s="59">
        <v>2016.37</v>
      </c>
      <c r="R87" s="59">
        <f>2016.37*(8187+3641)</f>
        <v>23849624.359999999</v>
      </c>
      <c r="S87" s="59"/>
      <c r="T87" s="59"/>
      <c r="U87" s="59"/>
      <c r="V87" s="59"/>
      <c r="W87" s="59"/>
      <c r="X87" s="152">
        <f>C87-E87-F87-G87-H87-I87-N87-P87-R87-S87-U87-V87-W87</f>
        <v>0</v>
      </c>
      <c r="Y87" s="152"/>
      <c r="Z87" s="19"/>
      <c r="AA87" s="19"/>
      <c r="AB87" s="19"/>
      <c r="AC87" s="19"/>
      <c r="AD87" s="19"/>
      <c r="AE87" s="19"/>
      <c r="AF87" s="149"/>
      <c r="AH87" s="146"/>
      <c r="AI87" s="146"/>
    </row>
    <row r="88" spans="1:35" x14ac:dyDescent="0.3">
      <c r="A88" s="287" t="s">
        <v>35</v>
      </c>
      <c r="B88" s="288"/>
      <c r="C88" s="201">
        <f t="shared" ref="C88:W88" si="24">SUM(C87)</f>
        <v>23849624.359999999</v>
      </c>
      <c r="D88" s="201">
        <f t="shared" si="24"/>
        <v>0</v>
      </c>
      <c r="E88" s="201">
        <f t="shared" si="24"/>
        <v>0</v>
      </c>
      <c r="F88" s="201">
        <f t="shared" si="24"/>
        <v>0</v>
      </c>
      <c r="G88" s="201">
        <f t="shared" si="24"/>
        <v>0</v>
      </c>
      <c r="H88" s="201">
        <f t="shared" si="24"/>
        <v>0</v>
      </c>
      <c r="I88" s="201">
        <f t="shared" si="24"/>
        <v>0</v>
      </c>
      <c r="J88" s="201">
        <f t="shared" si="24"/>
        <v>0</v>
      </c>
      <c r="K88" s="201">
        <f t="shared" si="24"/>
        <v>0</v>
      </c>
      <c r="L88" s="201">
        <f t="shared" si="24"/>
        <v>0</v>
      </c>
      <c r="M88" s="201">
        <f t="shared" si="24"/>
        <v>0</v>
      </c>
      <c r="N88" s="201">
        <f t="shared" si="24"/>
        <v>0</v>
      </c>
      <c r="O88" s="201">
        <f t="shared" si="24"/>
        <v>0</v>
      </c>
      <c r="P88" s="201">
        <f t="shared" si="24"/>
        <v>0</v>
      </c>
      <c r="Q88" s="201">
        <f t="shared" si="24"/>
        <v>2016.37</v>
      </c>
      <c r="R88" s="201">
        <f t="shared" si="24"/>
        <v>23849624.359999999</v>
      </c>
      <c r="S88" s="201">
        <f t="shared" si="24"/>
        <v>0</v>
      </c>
      <c r="T88" s="201">
        <f t="shared" si="24"/>
        <v>0</v>
      </c>
      <c r="U88" s="201">
        <f t="shared" si="24"/>
        <v>0</v>
      </c>
      <c r="V88" s="201">
        <f t="shared" si="24"/>
        <v>0</v>
      </c>
      <c r="W88" s="201">
        <f t="shared" si="24"/>
        <v>0</v>
      </c>
      <c r="X88" s="152"/>
      <c r="Y88" s="19"/>
      <c r="Z88" s="194"/>
      <c r="AA88" s="19"/>
      <c r="AB88" s="195"/>
      <c r="AC88" s="195"/>
      <c r="AD88" s="195"/>
    </row>
    <row r="89" spans="1:35" s="147" customFormat="1" x14ac:dyDescent="0.3">
      <c r="A89" s="444" t="s">
        <v>176</v>
      </c>
      <c r="B89" s="444"/>
      <c r="C89" s="59"/>
      <c r="D89" s="59"/>
      <c r="E89" s="59"/>
      <c r="F89" s="59"/>
      <c r="G89" s="59"/>
      <c r="H89" s="59"/>
      <c r="I89" s="59"/>
      <c r="J89" s="56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152">
        <f>C89-E89-F89-G89-H89-I89-N89-P89-R89-S89-U89-V89-W89</f>
        <v>0</v>
      </c>
      <c r="Y89" s="152"/>
      <c r="Z89" s="19"/>
      <c r="AA89" s="19"/>
      <c r="AB89" s="19"/>
      <c r="AC89" s="19"/>
      <c r="AD89" s="19"/>
      <c r="AE89" s="19"/>
      <c r="AF89" s="149"/>
      <c r="AG89" s="146"/>
      <c r="AH89" s="146"/>
      <c r="AI89" s="146"/>
    </row>
    <row r="90" spans="1:35" s="147" customFormat="1" x14ac:dyDescent="0.3">
      <c r="A90" s="191">
        <f>A87+1</f>
        <v>43</v>
      </c>
      <c r="B90" s="67" t="s">
        <v>177</v>
      </c>
      <c r="C90" s="59">
        <f>D90+K90+L90+N90+P90+R90+S90+U90+V90+W90</f>
        <v>305138.77</v>
      </c>
      <c r="D90" s="59"/>
      <c r="E90" s="59"/>
      <c r="F90" s="59"/>
      <c r="G90" s="59"/>
      <c r="H90" s="59"/>
      <c r="I90" s="59"/>
      <c r="J90" s="56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>
        <f>SUM(Z90:AJ90)</f>
        <v>305138.77</v>
      </c>
      <c r="X90" s="152">
        <f>C90-E90-F90-G90-H90-I90-N90-P90-R90-S90-U90-V90-W90</f>
        <v>0</v>
      </c>
      <c r="Y90" s="152"/>
      <c r="Z90" s="19"/>
      <c r="AA90" s="19"/>
      <c r="AB90" s="19"/>
      <c r="AC90" s="19"/>
      <c r="AD90" s="19"/>
      <c r="AE90" s="19">
        <v>305138.77</v>
      </c>
      <c r="AF90" s="149"/>
      <c r="AG90" s="146"/>
      <c r="AH90" s="146"/>
      <c r="AI90" s="146"/>
    </row>
    <row r="91" spans="1:35" x14ac:dyDescent="0.3">
      <c r="A91" s="287" t="s">
        <v>35</v>
      </c>
      <c r="B91" s="288"/>
      <c r="C91" s="201">
        <f t="shared" ref="C91:W91" si="25">SUM(C90)</f>
        <v>305138.77</v>
      </c>
      <c r="D91" s="201">
        <f t="shared" si="25"/>
        <v>0</v>
      </c>
      <c r="E91" s="201">
        <f t="shared" si="25"/>
        <v>0</v>
      </c>
      <c r="F91" s="201">
        <f t="shared" si="25"/>
        <v>0</v>
      </c>
      <c r="G91" s="201">
        <f t="shared" si="25"/>
        <v>0</v>
      </c>
      <c r="H91" s="201">
        <f t="shared" si="25"/>
        <v>0</v>
      </c>
      <c r="I91" s="201">
        <f t="shared" si="25"/>
        <v>0</v>
      </c>
      <c r="J91" s="201">
        <f t="shared" si="25"/>
        <v>0</v>
      </c>
      <c r="K91" s="201">
        <f t="shared" si="25"/>
        <v>0</v>
      </c>
      <c r="L91" s="201">
        <f t="shared" si="25"/>
        <v>0</v>
      </c>
      <c r="M91" s="201">
        <f t="shared" si="25"/>
        <v>0</v>
      </c>
      <c r="N91" s="201">
        <f t="shared" si="25"/>
        <v>0</v>
      </c>
      <c r="O91" s="201">
        <f t="shared" si="25"/>
        <v>0</v>
      </c>
      <c r="P91" s="201">
        <f t="shared" si="25"/>
        <v>0</v>
      </c>
      <c r="Q91" s="201">
        <f t="shared" si="25"/>
        <v>0</v>
      </c>
      <c r="R91" s="201">
        <f t="shared" si="25"/>
        <v>0</v>
      </c>
      <c r="S91" s="201">
        <f t="shared" si="25"/>
        <v>0</v>
      </c>
      <c r="T91" s="201">
        <f t="shared" si="25"/>
        <v>0</v>
      </c>
      <c r="U91" s="201">
        <f t="shared" si="25"/>
        <v>0</v>
      </c>
      <c r="V91" s="201">
        <f t="shared" si="25"/>
        <v>0</v>
      </c>
      <c r="W91" s="201">
        <f t="shared" si="25"/>
        <v>305138.77</v>
      </c>
      <c r="X91" s="152"/>
      <c r="Y91" s="19"/>
      <c r="Z91" s="194"/>
      <c r="AA91" s="19"/>
      <c r="AB91" s="195"/>
      <c r="AC91" s="195"/>
      <c r="AD91" s="195"/>
    </row>
    <row r="92" spans="1:35" x14ac:dyDescent="0.3">
      <c r="A92" s="289" t="s">
        <v>178</v>
      </c>
      <c r="B92" s="29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152"/>
      <c r="Y92" s="19"/>
      <c r="Z92" s="19"/>
      <c r="AA92" s="19"/>
      <c r="AB92" s="19"/>
      <c r="AC92" s="19"/>
      <c r="AD92" s="149"/>
      <c r="AE92" s="146"/>
      <c r="AF92" s="146"/>
      <c r="AG92" s="146"/>
      <c r="AH92" s="146"/>
    </row>
    <row r="93" spans="1:35" x14ac:dyDescent="0.3">
      <c r="A93" s="191">
        <f>A90+1</f>
        <v>44</v>
      </c>
      <c r="B93" s="262" t="s">
        <v>179</v>
      </c>
      <c r="C93" s="59">
        <f>D93+K93+L93+N93+P93+R93+S93+U93+V93+W93</f>
        <v>431312.18</v>
      </c>
      <c r="D93" s="59">
        <f>E93+F93+G93+H93+I93</f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>
        <f>SUM(Y93:AH93)</f>
        <v>431312.18</v>
      </c>
      <c r="X93" s="152"/>
      <c r="Y93" s="19"/>
      <c r="Z93" s="19"/>
      <c r="AA93" s="19"/>
      <c r="AB93" s="19"/>
      <c r="AC93" s="19">
        <v>391320.55</v>
      </c>
      <c r="AD93" s="149">
        <v>39991.629999999997</v>
      </c>
      <c r="AE93" s="146"/>
      <c r="AF93" s="146"/>
      <c r="AG93" s="146"/>
      <c r="AH93" s="146"/>
    </row>
    <row r="94" spans="1:35" x14ac:dyDescent="0.3">
      <c r="A94" s="287" t="s">
        <v>35</v>
      </c>
      <c r="B94" s="288"/>
      <c r="C94" s="201">
        <f t="shared" ref="C94:W94" si="26">SUM(C93)</f>
        <v>431312.18</v>
      </c>
      <c r="D94" s="201">
        <f t="shared" si="26"/>
        <v>0</v>
      </c>
      <c r="E94" s="201">
        <f t="shared" si="26"/>
        <v>0</v>
      </c>
      <c r="F94" s="201">
        <f t="shared" si="26"/>
        <v>0</v>
      </c>
      <c r="G94" s="201">
        <f t="shared" si="26"/>
        <v>0</v>
      </c>
      <c r="H94" s="201">
        <f t="shared" si="26"/>
        <v>0</v>
      </c>
      <c r="I94" s="201">
        <f t="shared" si="26"/>
        <v>0</v>
      </c>
      <c r="J94" s="201">
        <f t="shared" si="26"/>
        <v>0</v>
      </c>
      <c r="K94" s="201">
        <f t="shared" si="26"/>
        <v>0</v>
      </c>
      <c r="L94" s="201">
        <f t="shared" si="26"/>
        <v>0</v>
      </c>
      <c r="M94" s="201">
        <f t="shared" si="26"/>
        <v>0</v>
      </c>
      <c r="N94" s="201">
        <f t="shared" si="26"/>
        <v>0</v>
      </c>
      <c r="O94" s="201">
        <f t="shared" si="26"/>
        <v>0</v>
      </c>
      <c r="P94" s="201">
        <f t="shared" si="26"/>
        <v>0</v>
      </c>
      <c r="Q94" s="201">
        <f t="shared" si="26"/>
        <v>0</v>
      </c>
      <c r="R94" s="201">
        <f t="shared" si="26"/>
        <v>0</v>
      </c>
      <c r="S94" s="201">
        <f t="shared" si="26"/>
        <v>0</v>
      </c>
      <c r="T94" s="201">
        <f t="shared" si="26"/>
        <v>0</v>
      </c>
      <c r="U94" s="201">
        <f t="shared" si="26"/>
        <v>0</v>
      </c>
      <c r="V94" s="201">
        <f t="shared" si="26"/>
        <v>0</v>
      </c>
      <c r="W94" s="201">
        <f t="shared" si="26"/>
        <v>431312.18</v>
      </c>
      <c r="X94" s="152"/>
      <c r="Y94" s="19"/>
      <c r="Z94" s="194"/>
      <c r="AA94" s="19"/>
      <c r="AB94" s="195"/>
      <c r="AC94" s="195"/>
      <c r="AD94" s="195"/>
    </row>
    <row r="95" spans="1:35" x14ac:dyDescent="0.3">
      <c r="A95" s="293" t="s">
        <v>228</v>
      </c>
      <c r="B95" s="29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152"/>
      <c r="Y95" s="19"/>
      <c r="Z95" s="19"/>
      <c r="AA95" s="19"/>
      <c r="AB95" s="19"/>
      <c r="AC95" s="19"/>
      <c r="AD95" s="149"/>
      <c r="AE95" s="146"/>
      <c r="AF95" s="146"/>
      <c r="AG95" s="146"/>
      <c r="AH95" s="146"/>
    </row>
    <row r="96" spans="1:35" x14ac:dyDescent="0.3">
      <c r="A96" s="191">
        <f>A93+1</f>
        <v>45</v>
      </c>
      <c r="B96" s="253" t="s">
        <v>229</v>
      </c>
      <c r="C96" s="35">
        <f>D96+K96+L96+N96+P96+R96+S96+U96+V96+W96</f>
        <v>596302.76</v>
      </c>
      <c r="D96" s="35">
        <f>E96+F96+G96+H96+I96</f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>
        <f>SUM(Y96:AH96)</f>
        <v>596302.76</v>
      </c>
      <c r="X96" s="152"/>
      <c r="Y96" s="19"/>
      <c r="Z96" s="19"/>
      <c r="AA96" s="19"/>
      <c r="AB96" s="19"/>
      <c r="AC96" s="19">
        <v>413601.99</v>
      </c>
      <c r="AD96" s="149">
        <v>182700.77</v>
      </c>
      <c r="AE96" s="146"/>
      <c r="AF96" s="146"/>
      <c r="AG96" s="146"/>
      <c r="AH96" s="146"/>
    </row>
    <row r="97" spans="1:40" x14ac:dyDescent="0.3">
      <c r="A97" s="287" t="s">
        <v>35</v>
      </c>
      <c r="B97" s="288"/>
      <c r="C97" s="201">
        <f t="shared" ref="C97:W97" si="27">SUM(C96)</f>
        <v>596302.76</v>
      </c>
      <c r="D97" s="201">
        <f t="shared" si="27"/>
        <v>0</v>
      </c>
      <c r="E97" s="201">
        <f t="shared" si="27"/>
        <v>0</v>
      </c>
      <c r="F97" s="201">
        <f t="shared" si="27"/>
        <v>0</v>
      </c>
      <c r="G97" s="201">
        <f t="shared" si="27"/>
        <v>0</v>
      </c>
      <c r="H97" s="201">
        <f t="shared" si="27"/>
        <v>0</v>
      </c>
      <c r="I97" s="201">
        <f t="shared" si="27"/>
        <v>0</v>
      </c>
      <c r="J97" s="201">
        <f t="shared" si="27"/>
        <v>0</v>
      </c>
      <c r="K97" s="201">
        <f t="shared" si="27"/>
        <v>0</v>
      </c>
      <c r="L97" s="201">
        <f t="shared" si="27"/>
        <v>0</v>
      </c>
      <c r="M97" s="201">
        <f t="shared" si="27"/>
        <v>0</v>
      </c>
      <c r="N97" s="201">
        <f t="shared" si="27"/>
        <v>0</v>
      </c>
      <c r="O97" s="201">
        <f t="shared" si="27"/>
        <v>0</v>
      </c>
      <c r="P97" s="201">
        <f t="shared" si="27"/>
        <v>0</v>
      </c>
      <c r="Q97" s="201">
        <f t="shared" si="27"/>
        <v>0</v>
      </c>
      <c r="R97" s="201">
        <f t="shared" si="27"/>
        <v>0</v>
      </c>
      <c r="S97" s="201">
        <f t="shared" si="27"/>
        <v>0</v>
      </c>
      <c r="T97" s="201">
        <f t="shared" si="27"/>
        <v>0</v>
      </c>
      <c r="U97" s="201">
        <f t="shared" si="27"/>
        <v>0</v>
      </c>
      <c r="V97" s="201">
        <f t="shared" si="27"/>
        <v>0</v>
      </c>
      <c r="W97" s="201">
        <f t="shared" si="27"/>
        <v>596302.76</v>
      </c>
      <c r="X97" s="152"/>
      <c r="Y97" s="19"/>
      <c r="Z97" s="194"/>
      <c r="AA97" s="19"/>
      <c r="AB97" s="195"/>
      <c r="AC97" s="195"/>
      <c r="AD97" s="195"/>
    </row>
    <row r="98" spans="1:40" x14ac:dyDescent="0.3">
      <c r="A98" s="289" t="s">
        <v>180</v>
      </c>
      <c r="B98" s="290"/>
      <c r="C98" s="59"/>
      <c r="D98" s="59">
        <f>E98+F98+G98+H98+I98</f>
        <v>0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152"/>
      <c r="Y98" s="19"/>
      <c r="Z98" s="19"/>
      <c r="AA98" s="19"/>
      <c r="AB98" s="19"/>
      <c r="AC98" s="19"/>
      <c r="AD98" s="149"/>
      <c r="AE98" s="146"/>
      <c r="AF98" s="146"/>
      <c r="AG98" s="146"/>
      <c r="AH98" s="146"/>
    </row>
    <row r="99" spans="1:40" x14ac:dyDescent="0.3">
      <c r="A99" s="191">
        <f>A96+1</f>
        <v>46</v>
      </c>
      <c r="B99" s="262" t="s">
        <v>181</v>
      </c>
      <c r="C99" s="59">
        <f>D99+K99+L99+N99+P99+R99+S99+U99+V99+W99</f>
        <v>1035984.08</v>
      </c>
      <c r="D99" s="59">
        <f>E99+F99+G99+H99+I99</f>
        <v>1035984.08</v>
      </c>
      <c r="E99" s="59">
        <v>1035984.08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152" t="s">
        <v>50</v>
      </c>
      <c r="Y99" s="19"/>
      <c r="Z99" s="19"/>
      <c r="AA99" s="19"/>
      <c r="AB99" s="19"/>
      <c r="AC99" s="19"/>
      <c r="AD99" s="149">
        <v>212527.87</v>
      </c>
      <c r="AE99" s="146"/>
      <c r="AF99" s="146"/>
      <c r="AG99" s="146"/>
      <c r="AH99" s="146"/>
    </row>
    <row r="100" spans="1:40" x14ac:dyDescent="0.3">
      <c r="A100" s="171">
        <f>A99+1</f>
        <v>47</v>
      </c>
      <c r="B100" s="262" t="s">
        <v>182</v>
      </c>
      <c r="C100" s="59">
        <f>D100+K100+L100+N100+P100+R100+S100+U100+V100+W100</f>
        <v>1035984.08</v>
      </c>
      <c r="D100" s="59">
        <f>E100+F100+G100+H100+I100</f>
        <v>1035984.08</v>
      </c>
      <c r="E100" s="59">
        <v>1035984.08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152" t="s">
        <v>50</v>
      </c>
      <c r="Y100" s="19"/>
      <c r="Z100" s="19"/>
      <c r="AA100" s="19"/>
      <c r="AB100" s="19"/>
      <c r="AC100" s="19"/>
      <c r="AD100" s="149">
        <v>212105.15</v>
      </c>
      <c r="AE100" s="146"/>
      <c r="AF100" s="146"/>
      <c r="AG100" s="146"/>
      <c r="AH100" s="146"/>
    </row>
    <row r="101" spans="1:40" x14ac:dyDescent="0.3">
      <c r="A101" s="171">
        <f>A100+1</f>
        <v>48</v>
      </c>
      <c r="B101" s="262" t="s">
        <v>183</v>
      </c>
      <c r="C101" s="59">
        <f>D101+K101+L101+N101+P101+R101+S101+U101+V101+W101</f>
        <v>790000</v>
      </c>
      <c r="D101" s="59">
        <f>E101+F101+G101+H101+I101</f>
        <v>0</v>
      </c>
      <c r="E101" s="59"/>
      <c r="F101" s="59"/>
      <c r="G101" s="59"/>
      <c r="H101" s="59"/>
      <c r="I101" s="59"/>
      <c r="J101" s="59"/>
      <c r="K101" s="59"/>
      <c r="L101" s="59"/>
      <c r="M101" s="59">
        <v>1046.5</v>
      </c>
      <c r="N101" s="59">
        <v>790000</v>
      </c>
      <c r="O101" s="59"/>
      <c r="P101" s="59"/>
      <c r="Q101" s="59"/>
      <c r="R101" s="59"/>
      <c r="S101" s="59"/>
      <c r="T101" s="59"/>
      <c r="U101" s="59"/>
      <c r="V101" s="59"/>
      <c r="W101" s="59"/>
      <c r="X101" s="152" t="s">
        <v>13</v>
      </c>
      <c r="Y101" s="19"/>
      <c r="Z101" s="19"/>
      <c r="AA101" s="19"/>
      <c r="AB101" s="19"/>
      <c r="AC101" s="19"/>
      <c r="AD101" s="149"/>
      <c r="AE101" s="146"/>
      <c r="AF101" s="146"/>
      <c r="AG101" s="146"/>
      <c r="AH101" s="146"/>
    </row>
    <row r="102" spans="1:40" x14ac:dyDescent="0.3">
      <c r="A102" s="295" t="s">
        <v>35</v>
      </c>
      <c r="B102" s="296"/>
      <c r="C102" s="59">
        <f>SUM(C99:C101)</f>
        <v>2861968.16</v>
      </c>
      <c r="D102" s="59">
        <f t="shared" ref="D102:W102" si="28">SUM(D99:D101)</f>
        <v>2071968.16</v>
      </c>
      <c r="E102" s="59">
        <f t="shared" si="28"/>
        <v>2071968.16</v>
      </c>
      <c r="F102" s="59">
        <f t="shared" si="28"/>
        <v>0</v>
      </c>
      <c r="G102" s="59">
        <f t="shared" si="28"/>
        <v>0</v>
      </c>
      <c r="H102" s="59">
        <f t="shared" si="28"/>
        <v>0</v>
      </c>
      <c r="I102" s="59">
        <f t="shared" si="28"/>
        <v>0</v>
      </c>
      <c r="J102" s="59">
        <f t="shared" si="28"/>
        <v>0</v>
      </c>
      <c r="K102" s="59">
        <f t="shared" si="28"/>
        <v>0</v>
      </c>
      <c r="L102" s="59">
        <f t="shared" si="28"/>
        <v>0</v>
      </c>
      <c r="M102" s="59">
        <f t="shared" si="28"/>
        <v>1046.5</v>
      </c>
      <c r="N102" s="59">
        <f t="shared" si="28"/>
        <v>790000</v>
      </c>
      <c r="O102" s="59">
        <f t="shared" si="28"/>
        <v>0</v>
      </c>
      <c r="P102" s="59">
        <f t="shared" si="28"/>
        <v>0</v>
      </c>
      <c r="Q102" s="59">
        <f t="shared" si="28"/>
        <v>0</v>
      </c>
      <c r="R102" s="59">
        <f t="shared" si="28"/>
        <v>0</v>
      </c>
      <c r="S102" s="59">
        <f t="shared" si="28"/>
        <v>0</v>
      </c>
      <c r="T102" s="59">
        <f t="shared" si="28"/>
        <v>0</v>
      </c>
      <c r="U102" s="59">
        <f t="shared" si="28"/>
        <v>0</v>
      </c>
      <c r="V102" s="59">
        <f t="shared" si="28"/>
        <v>0</v>
      </c>
      <c r="W102" s="59">
        <f t="shared" si="28"/>
        <v>0</v>
      </c>
      <c r="X102" s="152"/>
      <c r="Y102" s="19"/>
      <c r="Z102" s="19"/>
      <c r="AA102" s="19"/>
      <c r="AB102" s="19"/>
      <c r="AC102" s="19"/>
      <c r="AD102" s="149"/>
      <c r="AE102" s="146"/>
      <c r="AF102" s="146"/>
      <c r="AG102" s="146"/>
      <c r="AH102" s="146"/>
    </row>
    <row r="103" spans="1:40" x14ac:dyDescent="0.3">
      <c r="A103" s="293" t="s">
        <v>230</v>
      </c>
      <c r="B103" s="29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152"/>
      <c r="Y103" s="19"/>
      <c r="Z103" s="19"/>
      <c r="AA103" s="19"/>
      <c r="AB103" s="19"/>
      <c r="AC103" s="19"/>
      <c r="AD103" s="149"/>
      <c r="AE103" s="146"/>
      <c r="AF103" s="146"/>
      <c r="AG103" s="146"/>
      <c r="AH103" s="146"/>
    </row>
    <row r="104" spans="1:40" x14ac:dyDescent="0.3">
      <c r="A104" s="191">
        <f>A101+1</f>
        <v>49</v>
      </c>
      <c r="B104" s="253" t="s">
        <v>231</v>
      </c>
      <c r="C104" s="35">
        <f>D104+K104+L104+N104+P104+R104+S104+U104+V104+W104</f>
        <v>493967.67</v>
      </c>
      <c r="D104" s="35">
        <f>E104+F104+G104+H104+I104</f>
        <v>389668</v>
      </c>
      <c r="E104" s="35"/>
      <c r="F104" s="35"/>
      <c r="G104" s="35"/>
      <c r="H104" s="35"/>
      <c r="I104" s="59">
        <v>389668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>
        <f>SUM(Y104:AH104)</f>
        <v>104299.67</v>
      </c>
      <c r="X104" s="152"/>
      <c r="Y104" s="19"/>
      <c r="Z104" s="19">
        <v>104299.67</v>
      </c>
      <c r="AA104" s="19"/>
      <c r="AB104" s="19"/>
      <c r="AC104" s="19"/>
      <c r="AD104" s="149"/>
      <c r="AE104" s="146"/>
      <c r="AF104" s="146"/>
      <c r="AG104" s="146"/>
      <c r="AH104" s="146"/>
    </row>
    <row r="105" spans="1:40" x14ac:dyDescent="0.3">
      <c r="A105" s="287" t="s">
        <v>35</v>
      </c>
      <c r="B105" s="288"/>
      <c r="C105" s="201">
        <f t="shared" ref="C105:W105" si="29">SUM(C104)</f>
        <v>493967.67</v>
      </c>
      <c r="D105" s="201">
        <f t="shared" si="29"/>
        <v>389668</v>
      </c>
      <c r="E105" s="201">
        <f t="shared" si="29"/>
        <v>0</v>
      </c>
      <c r="F105" s="201">
        <f t="shared" si="29"/>
        <v>0</v>
      </c>
      <c r="G105" s="201">
        <f t="shared" si="29"/>
        <v>0</v>
      </c>
      <c r="H105" s="201">
        <f t="shared" si="29"/>
        <v>0</v>
      </c>
      <c r="I105" s="201">
        <f t="shared" si="29"/>
        <v>389668</v>
      </c>
      <c r="J105" s="201">
        <f t="shared" si="29"/>
        <v>0</v>
      </c>
      <c r="K105" s="201">
        <f t="shared" si="29"/>
        <v>0</v>
      </c>
      <c r="L105" s="201">
        <f t="shared" si="29"/>
        <v>0</v>
      </c>
      <c r="M105" s="201">
        <f t="shared" si="29"/>
        <v>0</v>
      </c>
      <c r="N105" s="201">
        <f t="shared" si="29"/>
        <v>0</v>
      </c>
      <c r="O105" s="201">
        <f t="shared" si="29"/>
        <v>0</v>
      </c>
      <c r="P105" s="201">
        <f t="shared" si="29"/>
        <v>0</v>
      </c>
      <c r="Q105" s="201">
        <f t="shared" si="29"/>
        <v>0</v>
      </c>
      <c r="R105" s="201">
        <f t="shared" si="29"/>
        <v>0</v>
      </c>
      <c r="S105" s="201">
        <f t="shared" si="29"/>
        <v>0</v>
      </c>
      <c r="T105" s="201">
        <f t="shared" si="29"/>
        <v>0</v>
      </c>
      <c r="U105" s="201">
        <f t="shared" si="29"/>
        <v>0</v>
      </c>
      <c r="V105" s="201">
        <f t="shared" si="29"/>
        <v>0</v>
      </c>
      <c r="W105" s="201">
        <f t="shared" si="29"/>
        <v>104299.67</v>
      </c>
      <c r="X105" s="152"/>
      <c r="Y105" s="19"/>
      <c r="Z105" s="194"/>
      <c r="AA105" s="19"/>
      <c r="AB105" s="195"/>
      <c r="AC105" s="195"/>
      <c r="AD105" s="195"/>
    </row>
    <row r="106" spans="1:40" s="147" customFormat="1" x14ac:dyDescent="0.3">
      <c r="A106" s="443" t="s">
        <v>175</v>
      </c>
      <c r="B106" s="443"/>
      <c r="C106" s="192">
        <f>C88+C91+C94+C102+C97+C105</f>
        <v>28538313.900000002</v>
      </c>
      <c r="D106" s="192">
        <f t="shared" ref="D106:W106" si="30">D88+D91+D94+D102+D97+D105</f>
        <v>2461636.16</v>
      </c>
      <c r="E106" s="192">
        <f t="shared" si="30"/>
        <v>2071968.16</v>
      </c>
      <c r="F106" s="192">
        <f t="shared" si="30"/>
        <v>0</v>
      </c>
      <c r="G106" s="192">
        <f t="shared" si="30"/>
        <v>0</v>
      </c>
      <c r="H106" s="192">
        <f t="shared" si="30"/>
        <v>0</v>
      </c>
      <c r="I106" s="192">
        <f t="shared" si="30"/>
        <v>389668</v>
      </c>
      <c r="J106" s="192">
        <f t="shared" si="30"/>
        <v>0</v>
      </c>
      <c r="K106" s="192">
        <f t="shared" si="30"/>
        <v>0</v>
      </c>
      <c r="L106" s="192">
        <f t="shared" si="30"/>
        <v>0</v>
      </c>
      <c r="M106" s="192">
        <f t="shared" si="30"/>
        <v>1046.5</v>
      </c>
      <c r="N106" s="192">
        <f t="shared" si="30"/>
        <v>790000</v>
      </c>
      <c r="O106" s="192">
        <f t="shared" si="30"/>
        <v>0</v>
      </c>
      <c r="P106" s="192">
        <f t="shared" si="30"/>
        <v>0</v>
      </c>
      <c r="Q106" s="192">
        <f t="shared" si="30"/>
        <v>2016.37</v>
      </c>
      <c r="R106" s="192">
        <f t="shared" si="30"/>
        <v>23849624.359999999</v>
      </c>
      <c r="S106" s="192">
        <f t="shared" si="30"/>
        <v>0</v>
      </c>
      <c r="T106" s="192">
        <f t="shared" si="30"/>
        <v>0</v>
      </c>
      <c r="U106" s="192">
        <f t="shared" si="30"/>
        <v>0</v>
      </c>
      <c r="V106" s="192">
        <f t="shared" si="30"/>
        <v>0</v>
      </c>
      <c r="W106" s="192">
        <f t="shared" si="30"/>
        <v>1437053.38</v>
      </c>
      <c r="X106" s="152">
        <f>C106-E106-F106-G106-H106-I106-N106-P106-R106-S106-U106-V106-W106</f>
        <v>2.7939677238464355E-9</v>
      </c>
      <c r="Y106" s="152"/>
      <c r="Z106" s="19"/>
      <c r="AA106" s="19"/>
      <c r="AB106" s="19"/>
      <c r="AC106" s="19"/>
      <c r="AD106" s="19"/>
      <c r="AE106" s="19"/>
      <c r="AF106" s="149"/>
      <c r="AG106" s="146"/>
      <c r="AH106" s="146"/>
      <c r="AI106" s="146"/>
    </row>
    <row r="107" spans="1:40" x14ac:dyDescent="0.3">
      <c r="A107" s="430" t="s">
        <v>73</v>
      </c>
      <c r="B107" s="431"/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2"/>
      <c r="X107" s="283"/>
      <c r="Y107" s="196" t="s">
        <v>74</v>
      </c>
      <c r="Z107" s="196" t="s">
        <v>75</v>
      </c>
      <c r="AA107" s="196" t="s">
        <v>76</v>
      </c>
      <c r="AB107" s="19" t="s">
        <v>77</v>
      </c>
      <c r="AC107" s="19" t="s">
        <v>78</v>
      </c>
      <c r="AD107" s="19"/>
      <c r="AE107" s="149"/>
      <c r="AF107" s="146"/>
      <c r="AG107" s="146"/>
      <c r="AH107" s="146"/>
      <c r="AI107" s="146"/>
      <c r="AJ107" s="146"/>
      <c r="AK107" s="146"/>
      <c r="AL107" s="146"/>
      <c r="AM107" s="146"/>
      <c r="AN107" s="146"/>
    </row>
    <row r="108" spans="1:40" x14ac:dyDescent="0.3">
      <c r="A108" s="286" t="s">
        <v>79</v>
      </c>
      <c r="B108" s="247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152"/>
      <c r="Y108" s="152"/>
      <c r="Z108" s="152"/>
      <c r="AA108" s="152"/>
      <c r="AB108" s="152"/>
      <c r="AC108" s="19"/>
      <c r="AD108" s="19"/>
      <c r="AE108" s="149"/>
      <c r="AF108" s="146"/>
      <c r="AG108" s="146"/>
      <c r="AH108" s="146"/>
      <c r="AI108" s="146"/>
      <c r="AJ108" s="146"/>
      <c r="AK108" s="146"/>
      <c r="AL108" s="146"/>
      <c r="AM108" s="146"/>
      <c r="AN108" s="146"/>
    </row>
    <row r="109" spans="1:40" x14ac:dyDescent="0.3">
      <c r="A109" s="171">
        <f>A104+1</f>
        <v>50</v>
      </c>
      <c r="B109" s="250" t="s">
        <v>80</v>
      </c>
      <c r="C109" s="201">
        <f>D109+K109+L109+N109+P109+R109+S109+U109+V109+W109</f>
        <v>231370.32</v>
      </c>
      <c r="D109" s="201">
        <f>E109+F109+G109+H109+I109</f>
        <v>0</v>
      </c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>
        <f>SUM(Y109:AI109)</f>
        <v>231370.32</v>
      </c>
      <c r="X109" s="152"/>
      <c r="Y109" s="152"/>
      <c r="Z109" s="152"/>
      <c r="AA109" s="152"/>
      <c r="AB109" s="152"/>
      <c r="AC109" s="19">
        <v>231370.32</v>
      </c>
      <c r="AD109" s="19"/>
      <c r="AE109" s="149"/>
      <c r="AF109" s="146"/>
      <c r="AG109" s="146"/>
      <c r="AH109" s="146"/>
      <c r="AI109" s="146"/>
      <c r="AJ109" s="146"/>
      <c r="AK109" s="146"/>
      <c r="AL109" s="146"/>
      <c r="AM109" s="146"/>
      <c r="AN109" s="146"/>
    </row>
    <row r="110" spans="1:40" x14ac:dyDescent="0.3">
      <c r="A110" s="105">
        <f>A109+1</f>
        <v>51</v>
      </c>
      <c r="B110" s="74" t="s">
        <v>280</v>
      </c>
      <c r="C110" s="201">
        <f>D110+K110+L110+N110+P110+R110+S110+U110+V110+W110</f>
        <v>2100604.2600000002</v>
      </c>
      <c r="D110" s="201">
        <f>E110+F110+G110+H110+I110</f>
        <v>0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35">
        <f>SUM(Y110:AI110)</f>
        <v>2100604.2600000002</v>
      </c>
      <c r="X110" s="152"/>
      <c r="Y110" s="152"/>
      <c r="Z110" s="152"/>
      <c r="AA110" s="152"/>
      <c r="AB110" s="152"/>
      <c r="AC110" s="19"/>
      <c r="AD110" s="19"/>
      <c r="AE110" s="149"/>
      <c r="AF110" s="19">
        <v>488692.14</v>
      </c>
      <c r="AG110" s="149"/>
      <c r="AH110" s="146">
        <v>1611912.12</v>
      </c>
      <c r="AI110" s="146"/>
      <c r="AJ110" s="146"/>
      <c r="AK110" s="146"/>
      <c r="AL110" s="146"/>
      <c r="AM110" s="146"/>
      <c r="AN110" s="146"/>
    </row>
    <row r="111" spans="1:40" x14ac:dyDescent="0.3">
      <c r="A111" s="105">
        <f>A110+1</f>
        <v>52</v>
      </c>
      <c r="B111" s="106" t="s">
        <v>284</v>
      </c>
      <c r="C111" s="201">
        <f>D111+K111+L111+N111+P111+R111+S111+U111+V111+W111</f>
        <v>81394.5</v>
      </c>
      <c r="D111" s="201">
        <f>E111+F111+G111+H111+I111</f>
        <v>0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35">
        <f>SUM(Y111:AI111)</f>
        <v>81394.5</v>
      </c>
      <c r="X111" s="152"/>
      <c r="Y111" s="152"/>
      <c r="Z111" s="152"/>
      <c r="AA111" s="152"/>
      <c r="AB111" s="152"/>
      <c r="AC111" s="19"/>
      <c r="AD111" s="297">
        <v>81394.5</v>
      </c>
      <c r="AE111" s="149"/>
      <c r="AF111" s="146"/>
      <c r="AG111" s="146"/>
      <c r="AH111" s="146"/>
      <c r="AI111" s="146"/>
      <c r="AJ111" s="146"/>
      <c r="AK111" s="146"/>
      <c r="AL111" s="146"/>
      <c r="AM111" s="146"/>
      <c r="AN111" s="146"/>
    </row>
    <row r="112" spans="1:40" x14ac:dyDescent="0.3">
      <c r="A112" s="105">
        <f t="shared" ref="A112:A113" si="31">A111+1</f>
        <v>53</v>
      </c>
      <c r="B112" s="106" t="s">
        <v>289</v>
      </c>
      <c r="C112" s="201">
        <f>D112+K112+L112+N112+P112+R112+S112+U112+V112+W112</f>
        <v>235222</v>
      </c>
      <c r="D112" s="114">
        <f>E112+F112+G112+H112+I112</f>
        <v>105222</v>
      </c>
      <c r="E112" s="114"/>
      <c r="F112" s="114"/>
      <c r="G112" s="114"/>
      <c r="H112" s="114"/>
      <c r="I112" s="114">
        <v>105222</v>
      </c>
      <c r="J112" s="114"/>
      <c r="K112" s="114"/>
      <c r="L112" s="114"/>
      <c r="M112" s="114"/>
      <c r="N112" s="298"/>
      <c r="O112" s="114"/>
      <c r="P112" s="114"/>
      <c r="Q112" s="114"/>
      <c r="R112" s="114"/>
      <c r="S112" s="114"/>
      <c r="T112" s="114"/>
      <c r="U112" s="114"/>
      <c r="V112" s="114"/>
      <c r="W112" s="114">
        <v>130000</v>
      </c>
      <c r="X112" s="114"/>
      <c r="Y112" s="114">
        <v>130000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</row>
    <row r="113" spans="1:40" x14ac:dyDescent="0.3">
      <c r="A113" s="105">
        <f t="shared" si="31"/>
        <v>54</v>
      </c>
      <c r="B113" s="250" t="s">
        <v>81</v>
      </c>
      <c r="C113" s="201">
        <f>D113+K113+L113+N113+P113+R113+S113+U113+V113+W113</f>
        <v>1258107.4100000001</v>
      </c>
      <c r="D113" s="201">
        <f>E113+F113+G113+H113+I113</f>
        <v>0</v>
      </c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>
        <f>SUM(Y113:AI113)</f>
        <v>1258107.4100000001</v>
      </c>
      <c r="X113" s="152"/>
      <c r="Y113" s="152"/>
      <c r="Z113" s="152"/>
      <c r="AA113" s="152"/>
      <c r="AB113" s="152"/>
      <c r="AC113" s="19">
        <v>181709.87</v>
      </c>
      <c r="AD113" s="19"/>
      <c r="AE113" s="149"/>
      <c r="AF113" s="146">
        <v>1076397.54</v>
      </c>
      <c r="AG113" s="146"/>
      <c r="AH113" s="146"/>
      <c r="AI113" s="146"/>
      <c r="AJ113" s="146"/>
      <c r="AK113" s="146"/>
      <c r="AL113" s="146"/>
      <c r="AM113" s="146"/>
      <c r="AN113" s="146"/>
    </row>
    <row r="114" spans="1:40" x14ac:dyDescent="0.3">
      <c r="A114" s="287" t="s">
        <v>35</v>
      </c>
      <c r="B114" s="288"/>
      <c r="C114" s="201">
        <f t="shared" ref="C114:W114" si="32">SUM(C109:C113)</f>
        <v>3906698.49</v>
      </c>
      <c r="D114" s="201">
        <f t="shared" si="32"/>
        <v>105222</v>
      </c>
      <c r="E114" s="201">
        <f t="shared" si="32"/>
        <v>0</v>
      </c>
      <c r="F114" s="201">
        <f t="shared" si="32"/>
        <v>0</v>
      </c>
      <c r="G114" s="201">
        <f t="shared" si="32"/>
        <v>0</v>
      </c>
      <c r="H114" s="201">
        <f t="shared" si="32"/>
        <v>0</v>
      </c>
      <c r="I114" s="201">
        <f t="shared" si="32"/>
        <v>105222</v>
      </c>
      <c r="J114" s="201">
        <f t="shared" si="32"/>
        <v>0</v>
      </c>
      <c r="K114" s="201">
        <f t="shared" si="32"/>
        <v>0</v>
      </c>
      <c r="L114" s="201">
        <f t="shared" si="32"/>
        <v>0</v>
      </c>
      <c r="M114" s="201">
        <f t="shared" si="32"/>
        <v>0</v>
      </c>
      <c r="N114" s="201">
        <f t="shared" si="32"/>
        <v>0</v>
      </c>
      <c r="O114" s="201">
        <f t="shared" si="32"/>
        <v>0</v>
      </c>
      <c r="P114" s="201">
        <f t="shared" si="32"/>
        <v>0</v>
      </c>
      <c r="Q114" s="201">
        <f t="shared" si="32"/>
        <v>0</v>
      </c>
      <c r="R114" s="201">
        <f t="shared" si="32"/>
        <v>0</v>
      </c>
      <c r="S114" s="201">
        <f t="shared" si="32"/>
        <v>0</v>
      </c>
      <c r="T114" s="201">
        <f t="shared" si="32"/>
        <v>0</v>
      </c>
      <c r="U114" s="201">
        <f t="shared" si="32"/>
        <v>0</v>
      </c>
      <c r="V114" s="201">
        <f t="shared" si="32"/>
        <v>0</v>
      </c>
      <c r="W114" s="201">
        <f t="shared" si="32"/>
        <v>3801476.49</v>
      </c>
      <c r="X114" s="152"/>
      <c r="Y114" s="152"/>
      <c r="Z114" s="152"/>
      <c r="AA114" s="152"/>
      <c r="AB114" s="152"/>
      <c r="AC114" s="19"/>
      <c r="AD114" s="19"/>
      <c r="AE114" s="149"/>
      <c r="AF114" s="146"/>
      <c r="AG114" s="146"/>
      <c r="AH114" s="146"/>
      <c r="AI114" s="146"/>
      <c r="AJ114" s="146"/>
      <c r="AK114" s="146"/>
      <c r="AL114" s="146"/>
      <c r="AM114" s="146"/>
      <c r="AN114" s="146"/>
    </row>
    <row r="115" spans="1:40" x14ac:dyDescent="0.3">
      <c r="A115" s="286" t="s">
        <v>82</v>
      </c>
      <c r="B115" s="247"/>
      <c r="C115" s="205">
        <f t="shared" ref="C115:W115" si="33">C114</f>
        <v>3906698.49</v>
      </c>
      <c r="D115" s="205">
        <f t="shared" si="33"/>
        <v>105222</v>
      </c>
      <c r="E115" s="205">
        <f t="shared" si="33"/>
        <v>0</v>
      </c>
      <c r="F115" s="205">
        <f t="shared" si="33"/>
        <v>0</v>
      </c>
      <c r="G115" s="205">
        <f t="shared" si="33"/>
        <v>0</v>
      </c>
      <c r="H115" s="205">
        <f t="shared" si="33"/>
        <v>0</v>
      </c>
      <c r="I115" s="205">
        <f t="shared" si="33"/>
        <v>105222</v>
      </c>
      <c r="J115" s="205">
        <f t="shared" si="33"/>
        <v>0</v>
      </c>
      <c r="K115" s="205">
        <f t="shared" si="33"/>
        <v>0</v>
      </c>
      <c r="L115" s="205">
        <f t="shared" si="33"/>
        <v>0</v>
      </c>
      <c r="M115" s="205">
        <f t="shared" si="33"/>
        <v>0</v>
      </c>
      <c r="N115" s="205">
        <f t="shared" si="33"/>
        <v>0</v>
      </c>
      <c r="O115" s="205">
        <f t="shared" si="33"/>
        <v>0</v>
      </c>
      <c r="P115" s="205">
        <f t="shared" si="33"/>
        <v>0</v>
      </c>
      <c r="Q115" s="205">
        <f t="shared" si="33"/>
        <v>0</v>
      </c>
      <c r="R115" s="205">
        <f t="shared" si="33"/>
        <v>0</v>
      </c>
      <c r="S115" s="205">
        <f t="shared" si="33"/>
        <v>0</v>
      </c>
      <c r="T115" s="205">
        <f t="shared" si="33"/>
        <v>0</v>
      </c>
      <c r="U115" s="205">
        <f t="shared" si="33"/>
        <v>0</v>
      </c>
      <c r="V115" s="205">
        <f t="shared" si="33"/>
        <v>0</v>
      </c>
      <c r="W115" s="205">
        <f t="shared" si="33"/>
        <v>3801476.49</v>
      </c>
      <c r="X115" s="152"/>
      <c r="Y115" s="152"/>
      <c r="Z115" s="152"/>
      <c r="AA115" s="152"/>
      <c r="AB115" s="152"/>
      <c r="AC115" s="19"/>
      <c r="AD115" s="19"/>
      <c r="AE115" s="149"/>
      <c r="AF115" s="146"/>
      <c r="AG115" s="146"/>
      <c r="AH115" s="146"/>
      <c r="AI115" s="146"/>
      <c r="AJ115" s="146"/>
      <c r="AK115" s="146"/>
      <c r="AL115" s="146"/>
      <c r="AM115" s="146"/>
      <c r="AN115" s="146"/>
    </row>
    <row r="116" spans="1:40" x14ac:dyDescent="0.3">
      <c r="A116" s="427" t="s">
        <v>184</v>
      </c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9"/>
      <c r="X116" s="284"/>
      <c r="Y116" s="55"/>
      <c r="Z116" s="55"/>
      <c r="AA116" s="59"/>
      <c r="AB116" s="59"/>
      <c r="AC116" s="300"/>
      <c r="AD116" s="191"/>
      <c r="AE116" s="146"/>
      <c r="AF116" s="59"/>
      <c r="AG116" s="300"/>
      <c r="AH116" s="191"/>
      <c r="AI116" s="146"/>
    </row>
    <row r="117" spans="1:40" s="147" customFormat="1" x14ac:dyDescent="0.3">
      <c r="A117" s="27">
        <f>A113+1</f>
        <v>55</v>
      </c>
      <c r="B117" s="67" t="s">
        <v>185</v>
      </c>
      <c r="C117" s="59">
        <f>D117+K117+L117+N117+P117+R117+S117+U117+V117+W117</f>
        <v>1852399.63</v>
      </c>
      <c r="D117" s="59"/>
      <c r="E117" s="59"/>
      <c r="F117" s="59"/>
      <c r="G117" s="59"/>
      <c r="H117" s="59"/>
      <c r="I117" s="59"/>
      <c r="J117" s="56"/>
      <c r="K117" s="59"/>
      <c r="L117" s="59"/>
      <c r="M117" s="59"/>
      <c r="N117" s="59"/>
      <c r="O117" s="59"/>
      <c r="P117" s="59"/>
      <c r="Q117" s="301"/>
      <c r="R117" s="59"/>
      <c r="S117" s="59"/>
      <c r="T117" s="59"/>
      <c r="U117" s="59"/>
      <c r="V117" s="59"/>
      <c r="W117" s="59">
        <f>SUM(Z117:AH117)</f>
        <v>1852399.63</v>
      </c>
      <c r="X117" s="152">
        <f>C117-E117-F117-G117-H117-I117-N117-P117-R117-S117-U117-V117-W117</f>
        <v>0</v>
      </c>
      <c r="Y117" s="210"/>
      <c r="Z117" s="210"/>
      <c r="AA117" s="302"/>
      <c r="AB117" s="59"/>
      <c r="AD117" s="302"/>
      <c r="AF117" s="59">
        <v>395398.32</v>
      </c>
      <c r="AG117" s="303">
        <v>515295.55</v>
      </c>
      <c r="AH117" s="59">
        <v>941705.76</v>
      </c>
    </row>
    <row r="118" spans="1:40" s="183" customFormat="1" x14ac:dyDescent="0.3">
      <c r="A118" s="286" t="s">
        <v>35</v>
      </c>
      <c r="B118" s="247"/>
      <c r="C118" s="205">
        <f t="shared" ref="C118:W118" si="34">SUM(C117:C117)</f>
        <v>1852399.63</v>
      </c>
      <c r="D118" s="205">
        <f t="shared" si="34"/>
        <v>0</v>
      </c>
      <c r="E118" s="205">
        <f t="shared" si="34"/>
        <v>0</v>
      </c>
      <c r="F118" s="205">
        <f t="shared" si="34"/>
        <v>0</v>
      </c>
      <c r="G118" s="205">
        <f t="shared" si="34"/>
        <v>0</v>
      </c>
      <c r="H118" s="205">
        <f t="shared" si="34"/>
        <v>0</v>
      </c>
      <c r="I118" s="205">
        <f t="shared" si="34"/>
        <v>0</v>
      </c>
      <c r="J118" s="205">
        <f t="shared" si="34"/>
        <v>0</v>
      </c>
      <c r="K118" s="205">
        <f t="shared" si="34"/>
        <v>0</v>
      </c>
      <c r="L118" s="205">
        <f t="shared" si="34"/>
        <v>0</v>
      </c>
      <c r="M118" s="205">
        <f t="shared" si="34"/>
        <v>0</v>
      </c>
      <c r="N118" s="205">
        <f t="shared" si="34"/>
        <v>0</v>
      </c>
      <c r="O118" s="205">
        <f t="shared" si="34"/>
        <v>0</v>
      </c>
      <c r="P118" s="205">
        <f t="shared" si="34"/>
        <v>0</v>
      </c>
      <c r="Q118" s="205">
        <f t="shared" si="34"/>
        <v>0</v>
      </c>
      <c r="R118" s="205">
        <f t="shared" si="34"/>
        <v>0</v>
      </c>
      <c r="S118" s="205">
        <f t="shared" si="34"/>
        <v>0</v>
      </c>
      <c r="T118" s="205">
        <f t="shared" si="34"/>
        <v>0</v>
      </c>
      <c r="U118" s="205">
        <f t="shared" si="34"/>
        <v>0</v>
      </c>
      <c r="V118" s="205">
        <f t="shared" si="34"/>
        <v>0</v>
      </c>
      <c r="W118" s="205">
        <f t="shared" si="34"/>
        <v>1852399.63</v>
      </c>
      <c r="X118" s="196"/>
      <c r="Y118" s="304"/>
      <c r="Z118" s="305"/>
      <c r="AA118" s="304"/>
      <c r="AB118" s="165"/>
      <c r="AC118" s="165"/>
      <c r="AD118" s="165"/>
    </row>
    <row r="119" spans="1:40" x14ac:dyDescent="0.3">
      <c r="A119" s="430" t="s">
        <v>83</v>
      </c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2"/>
      <c r="X119" s="283"/>
      <c r="Y119" s="19"/>
      <c r="Z119" s="19"/>
      <c r="AA119" s="19"/>
      <c r="AB119" s="19"/>
      <c r="AC119" s="19"/>
      <c r="AD119" s="19"/>
      <c r="AE119" s="19"/>
      <c r="AF119" s="149"/>
      <c r="AG119" s="146"/>
      <c r="AH119" s="146"/>
      <c r="AI119" s="146"/>
      <c r="AJ119" s="146"/>
    </row>
    <row r="120" spans="1:40" x14ac:dyDescent="0.3">
      <c r="A120" s="286" t="s">
        <v>84</v>
      </c>
      <c r="B120" s="247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152"/>
      <c r="Y120" s="19"/>
      <c r="Z120" s="19"/>
      <c r="AA120" s="19"/>
      <c r="AB120" s="19"/>
      <c r="AC120" s="19"/>
      <c r="AD120" s="19"/>
      <c r="AE120" s="19"/>
      <c r="AF120" s="149"/>
      <c r="AG120" s="146"/>
      <c r="AH120" s="146"/>
      <c r="AI120" s="146"/>
      <c r="AJ120" s="146"/>
    </row>
    <row r="121" spans="1:40" x14ac:dyDescent="0.3">
      <c r="A121" s="27">
        <f>A117+1</f>
        <v>56</v>
      </c>
      <c r="B121" s="250" t="s">
        <v>85</v>
      </c>
      <c r="C121" s="201">
        <f>D121+K121+L121+N121+P121+R121+S121+U121+V121+W121</f>
        <v>130000</v>
      </c>
      <c r="D121" s="201">
        <f>E121+F121+G121+H121</f>
        <v>0</v>
      </c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>
        <v>130000</v>
      </c>
      <c r="X121" s="152"/>
      <c r="Y121" s="19"/>
      <c r="Z121" s="19"/>
      <c r="AA121" s="19"/>
      <c r="AB121" s="19"/>
      <c r="AC121" s="19"/>
      <c r="AD121" s="19"/>
      <c r="AE121" s="19"/>
      <c r="AF121" s="149"/>
      <c r="AG121" s="146"/>
      <c r="AH121" s="146"/>
      <c r="AI121" s="146"/>
      <c r="AJ121" s="146"/>
    </row>
    <row r="122" spans="1:40" x14ac:dyDescent="0.3">
      <c r="A122" s="287" t="s">
        <v>35</v>
      </c>
      <c r="B122" s="288"/>
      <c r="C122" s="201">
        <f>C121</f>
        <v>130000</v>
      </c>
      <c r="D122" s="201">
        <f t="shared" ref="D122:W122" si="35">D121</f>
        <v>0</v>
      </c>
      <c r="E122" s="201">
        <f t="shared" si="35"/>
        <v>0</v>
      </c>
      <c r="F122" s="201">
        <f t="shared" si="35"/>
        <v>0</v>
      </c>
      <c r="G122" s="201">
        <f t="shared" si="35"/>
        <v>0</v>
      </c>
      <c r="H122" s="201">
        <f t="shared" si="35"/>
        <v>0</v>
      </c>
      <c r="I122" s="201">
        <f t="shared" si="35"/>
        <v>0</v>
      </c>
      <c r="J122" s="201">
        <f t="shared" si="35"/>
        <v>0</v>
      </c>
      <c r="K122" s="201">
        <f t="shared" si="35"/>
        <v>0</v>
      </c>
      <c r="L122" s="201">
        <f t="shared" si="35"/>
        <v>0</v>
      </c>
      <c r="M122" s="201">
        <f t="shared" si="35"/>
        <v>0</v>
      </c>
      <c r="N122" s="201">
        <f t="shared" si="35"/>
        <v>0</v>
      </c>
      <c r="O122" s="201">
        <f t="shared" si="35"/>
        <v>0</v>
      </c>
      <c r="P122" s="201">
        <f t="shared" si="35"/>
        <v>0</v>
      </c>
      <c r="Q122" s="201">
        <f t="shared" si="35"/>
        <v>0</v>
      </c>
      <c r="R122" s="201">
        <f t="shared" si="35"/>
        <v>0</v>
      </c>
      <c r="S122" s="201">
        <f t="shared" si="35"/>
        <v>0</v>
      </c>
      <c r="T122" s="201">
        <f t="shared" si="35"/>
        <v>0</v>
      </c>
      <c r="U122" s="201">
        <f t="shared" si="35"/>
        <v>0</v>
      </c>
      <c r="V122" s="201">
        <f t="shared" si="35"/>
        <v>0</v>
      </c>
      <c r="W122" s="201">
        <f t="shared" si="35"/>
        <v>130000</v>
      </c>
      <c r="X122" s="152"/>
      <c r="Y122" s="19"/>
      <c r="Z122" s="19"/>
      <c r="AA122" s="19"/>
      <c r="AB122" s="19"/>
      <c r="AC122" s="19"/>
      <c r="AD122" s="19"/>
      <c r="AE122" s="19"/>
      <c r="AF122" s="149"/>
      <c r="AG122" s="146"/>
      <c r="AH122" s="146"/>
      <c r="AI122" s="146"/>
      <c r="AJ122" s="146"/>
    </row>
    <row r="123" spans="1:40" x14ac:dyDescent="0.3">
      <c r="A123" s="286" t="s">
        <v>86</v>
      </c>
      <c r="B123" s="247"/>
      <c r="C123" s="205">
        <f>C122</f>
        <v>130000</v>
      </c>
      <c r="D123" s="205">
        <f t="shared" ref="D123:W123" si="36">D122</f>
        <v>0</v>
      </c>
      <c r="E123" s="205">
        <f t="shared" si="36"/>
        <v>0</v>
      </c>
      <c r="F123" s="205">
        <f t="shared" si="36"/>
        <v>0</v>
      </c>
      <c r="G123" s="205">
        <f t="shared" si="36"/>
        <v>0</v>
      </c>
      <c r="H123" s="205">
        <f t="shared" si="36"/>
        <v>0</v>
      </c>
      <c r="I123" s="205">
        <f t="shared" si="36"/>
        <v>0</v>
      </c>
      <c r="J123" s="205">
        <f t="shared" si="36"/>
        <v>0</v>
      </c>
      <c r="K123" s="205">
        <f t="shared" si="36"/>
        <v>0</v>
      </c>
      <c r="L123" s="205">
        <f t="shared" si="36"/>
        <v>0</v>
      </c>
      <c r="M123" s="205">
        <f t="shared" si="36"/>
        <v>0</v>
      </c>
      <c r="N123" s="205">
        <f t="shared" si="36"/>
        <v>0</v>
      </c>
      <c r="O123" s="205">
        <f t="shared" si="36"/>
        <v>0</v>
      </c>
      <c r="P123" s="205">
        <f t="shared" si="36"/>
        <v>0</v>
      </c>
      <c r="Q123" s="205">
        <f t="shared" si="36"/>
        <v>0</v>
      </c>
      <c r="R123" s="205">
        <f t="shared" si="36"/>
        <v>0</v>
      </c>
      <c r="S123" s="205">
        <f t="shared" si="36"/>
        <v>0</v>
      </c>
      <c r="T123" s="205">
        <f t="shared" si="36"/>
        <v>0</v>
      </c>
      <c r="U123" s="205">
        <f t="shared" si="36"/>
        <v>0</v>
      </c>
      <c r="V123" s="205">
        <f t="shared" si="36"/>
        <v>0</v>
      </c>
      <c r="W123" s="205">
        <f t="shared" si="36"/>
        <v>130000</v>
      </c>
      <c r="X123" s="152"/>
      <c r="Y123" s="19"/>
      <c r="Z123" s="19"/>
      <c r="AA123" s="19"/>
      <c r="AB123" s="19"/>
      <c r="AC123" s="19"/>
      <c r="AD123" s="19"/>
      <c r="AE123" s="19"/>
      <c r="AF123" s="149"/>
      <c r="AG123" s="146"/>
      <c r="AH123" s="146"/>
      <c r="AI123" s="146"/>
      <c r="AJ123" s="146"/>
    </row>
    <row r="124" spans="1:40" x14ac:dyDescent="0.3">
      <c r="A124" s="380" t="s">
        <v>189</v>
      </c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2"/>
      <c r="X124" s="152"/>
      <c r="Y124" s="19"/>
      <c r="Z124" s="19"/>
      <c r="AA124" s="19"/>
      <c r="AB124" s="19"/>
      <c r="AC124" s="19"/>
      <c r="AD124" s="19"/>
      <c r="AE124" s="19"/>
      <c r="AF124" s="149"/>
      <c r="AG124" s="146"/>
      <c r="AH124" s="146"/>
      <c r="AI124" s="146"/>
      <c r="AJ124" s="146"/>
    </row>
    <row r="125" spans="1:40" x14ac:dyDescent="0.3">
      <c r="A125" s="119" t="s">
        <v>287</v>
      </c>
      <c r="B125" s="120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52"/>
      <c r="Y125" s="19"/>
      <c r="Z125" s="19"/>
      <c r="AA125" s="19"/>
      <c r="AB125" s="19"/>
      <c r="AC125" s="19"/>
      <c r="AD125" s="19"/>
      <c r="AE125" s="19"/>
      <c r="AF125" s="149"/>
      <c r="AG125" s="146"/>
      <c r="AH125" s="146"/>
      <c r="AI125" s="146"/>
      <c r="AJ125" s="146"/>
    </row>
    <row r="126" spans="1:40" x14ac:dyDescent="0.3">
      <c r="A126" s="306">
        <f>A121+1</f>
        <v>57</v>
      </c>
      <c r="B126" s="90" t="s">
        <v>285</v>
      </c>
      <c r="C126" s="201">
        <f>D126+K126+L126+N126+P126+R126+S126+U126+V126+W126</f>
        <v>255571.43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35">
        <f>SUM(Y126:AI126)</f>
        <v>255571.43</v>
      </c>
      <c r="X126" s="152"/>
      <c r="Y126" s="19"/>
      <c r="Z126" s="297">
        <v>255571.43</v>
      </c>
      <c r="AA126" s="19"/>
      <c r="AB126" s="19"/>
      <c r="AC126" s="19"/>
      <c r="AD126" s="19"/>
      <c r="AE126" s="19"/>
      <c r="AF126" s="149"/>
      <c r="AG126" s="146"/>
      <c r="AH126" s="146"/>
      <c r="AI126" s="146"/>
      <c r="AJ126" s="146"/>
    </row>
    <row r="127" spans="1:40" x14ac:dyDescent="0.3">
      <c r="A127" s="306">
        <f>A126+1</f>
        <v>58</v>
      </c>
      <c r="B127" s="90" t="s">
        <v>286</v>
      </c>
      <c r="C127" s="201">
        <f>D127+K127+L127+N127+P127+R127+S127+U127+V127+W127</f>
        <v>479057.95999999996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35">
        <f>SUM(Y127:AI127)</f>
        <v>479057.95999999996</v>
      </c>
      <c r="X127" s="152"/>
      <c r="Y127" s="19"/>
      <c r="Z127" s="19"/>
      <c r="AA127" s="19"/>
      <c r="AB127" s="19"/>
      <c r="AC127" s="19"/>
      <c r="AD127" s="19"/>
      <c r="AE127" s="19"/>
      <c r="AF127" s="149"/>
      <c r="AG127" s="297">
        <v>291657.61</v>
      </c>
      <c r="AH127" s="146"/>
      <c r="AI127" s="297">
        <v>187400.35</v>
      </c>
    </row>
    <row r="128" spans="1:40" x14ac:dyDescent="0.3">
      <c r="A128" s="350" t="s">
        <v>35</v>
      </c>
      <c r="B128" s="350"/>
      <c r="C128" s="114">
        <f>C126+C127</f>
        <v>734629.3899999999</v>
      </c>
      <c r="D128" s="114">
        <f t="shared" ref="D128:W128" si="37">D126+D127</f>
        <v>0</v>
      </c>
      <c r="E128" s="114">
        <f t="shared" si="37"/>
        <v>0</v>
      </c>
      <c r="F128" s="114">
        <f t="shared" si="37"/>
        <v>0</v>
      </c>
      <c r="G128" s="114">
        <f t="shared" si="37"/>
        <v>0</v>
      </c>
      <c r="H128" s="114">
        <f t="shared" si="37"/>
        <v>0</v>
      </c>
      <c r="I128" s="114">
        <f t="shared" si="37"/>
        <v>0</v>
      </c>
      <c r="J128" s="114">
        <f t="shared" si="37"/>
        <v>0</v>
      </c>
      <c r="K128" s="114">
        <f t="shared" si="37"/>
        <v>0</v>
      </c>
      <c r="L128" s="114">
        <f t="shared" si="37"/>
        <v>0</v>
      </c>
      <c r="M128" s="114">
        <f t="shared" si="37"/>
        <v>0</v>
      </c>
      <c r="N128" s="114">
        <f t="shared" si="37"/>
        <v>0</v>
      </c>
      <c r="O128" s="114">
        <f t="shared" si="37"/>
        <v>0</v>
      </c>
      <c r="P128" s="114">
        <f t="shared" si="37"/>
        <v>0</v>
      </c>
      <c r="Q128" s="114">
        <f t="shared" si="37"/>
        <v>0</v>
      </c>
      <c r="R128" s="114">
        <f t="shared" si="37"/>
        <v>0</v>
      </c>
      <c r="S128" s="114">
        <f t="shared" si="37"/>
        <v>0</v>
      </c>
      <c r="T128" s="114">
        <f t="shared" si="37"/>
        <v>0</v>
      </c>
      <c r="U128" s="114">
        <f t="shared" si="37"/>
        <v>0</v>
      </c>
      <c r="V128" s="114">
        <f t="shared" si="37"/>
        <v>0</v>
      </c>
      <c r="W128" s="114">
        <f t="shared" si="37"/>
        <v>734629.3899999999</v>
      </c>
      <c r="X128" s="152"/>
      <c r="Y128" s="19"/>
      <c r="Z128" s="19"/>
      <c r="AA128" s="19"/>
      <c r="AB128" s="19"/>
      <c r="AC128" s="19"/>
      <c r="AD128" s="19"/>
      <c r="AE128" s="19"/>
      <c r="AF128" s="149"/>
      <c r="AG128" s="146"/>
      <c r="AH128" s="146"/>
      <c r="AI128" s="146"/>
      <c r="AJ128" s="146"/>
    </row>
    <row r="129" spans="1:36" x14ac:dyDescent="0.3">
      <c r="A129" s="351" t="s">
        <v>288</v>
      </c>
      <c r="B129" s="352"/>
      <c r="C129" s="104">
        <f>C128</f>
        <v>734629.3899999999</v>
      </c>
      <c r="D129" s="104">
        <f t="shared" ref="D129:W129" si="38">D128</f>
        <v>0</v>
      </c>
      <c r="E129" s="104">
        <f t="shared" si="38"/>
        <v>0</v>
      </c>
      <c r="F129" s="104">
        <f t="shared" si="38"/>
        <v>0</v>
      </c>
      <c r="G129" s="104">
        <f t="shared" si="38"/>
        <v>0</v>
      </c>
      <c r="H129" s="104">
        <f t="shared" si="38"/>
        <v>0</v>
      </c>
      <c r="I129" s="104">
        <f t="shared" si="38"/>
        <v>0</v>
      </c>
      <c r="J129" s="104">
        <f t="shared" si="38"/>
        <v>0</v>
      </c>
      <c r="K129" s="104">
        <f t="shared" si="38"/>
        <v>0</v>
      </c>
      <c r="L129" s="104">
        <f t="shared" si="38"/>
        <v>0</v>
      </c>
      <c r="M129" s="104">
        <f t="shared" si="38"/>
        <v>0</v>
      </c>
      <c r="N129" s="104">
        <f t="shared" si="38"/>
        <v>0</v>
      </c>
      <c r="O129" s="104">
        <f t="shared" si="38"/>
        <v>0</v>
      </c>
      <c r="P129" s="104">
        <f t="shared" si="38"/>
        <v>0</v>
      </c>
      <c r="Q129" s="104">
        <f t="shared" si="38"/>
        <v>0</v>
      </c>
      <c r="R129" s="104">
        <f t="shared" si="38"/>
        <v>0</v>
      </c>
      <c r="S129" s="104">
        <f t="shared" si="38"/>
        <v>0</v>
      </c>
      <c r="T129" s="104">
        <f t="shared" si="38"/>
        <v>0</v>
      </c>
      <c r="U129" s="104">
        <f t="shared" si="38"/>
        <v>0</v>
      </c>
      <c r="V129" s="104">
        <f t="shared" si="38"/>
        <v>0</v>
      </c>
      <c r="W129" s="104">
        <f t="shared" si="38"/>
        <v>734629.3899999999</v>
      </c>
      <c r="X129" s="152"/>
      <c r="Y129" s="19"/>
      <c r="Z129" s="19"/>
      <c r="AA129" s="19"/>
      <c r="AB129" s="19"/>
      <c r="AC129" s="19"/>
      <c r="AD129" s="19"/>
      <c r="AE129" s="19"/>
      <c r="AF129" s="149"/>
      <c r="AG129" s="146"/>
      <c r="AH129" s="146"/>
      <c r="AI129" s="146"/>
      <c r="AJ129" s="146"/>
    </row>
    <row r="130" spans="1:36" x14ac:dyDescent="0.3">
      <c r="A130" s="307"/>
      <c r="B130" s="308" t="s">
        <v>87</v>
      </c>
      <c r="C130" s="205">
        <f t="shared" ref="C130:W130" si="39">C129+C123+C115+C84+C70+C64+C44+C17+C106+C118+C21</f>
        <v>73423364.730000004</v>
      </c>
      <c r="D130" s="205">
        <f t="shared" si="39"/>
        <v>3105069.16</v>
      </c>
      <c r="E130" s="205">
        <f t="shared" si="39"/>
        <v>2610179.16</v>
      </c>
      <c r="F130" s="205">
        <f t="shared" si="39"/>
        <v>0</v>
      </c>
      <c r="G130" s="205">
        <f t="shared" si="39"/>
        <v>0</v>
      </c>
      <c r="H130" s="205">
        <f t="shared" si="39"/>
        <v>0</v>
      </c>
      <c r="I130" s="205">
        <f t="shared" si="39"/>
        <v>494890</v>
      </c>
      <c r="J130" s="205">
        <f t="shared" si="39"/>
        <v>0</v>
      </c>
      <c r="K130" s="205">
        <f t="shared" si="39"/>
        <v>0</v>
      </c>
      <c r="L130" s="205">
        <f t="shared" si="39"/>
        <v>0</v>
      </c>
      <c r="M130" s="205">
        <f t="shared" si="39"/>
        <v>1046.5</v>
      </c>
      <c r="N130" s="205">
        <f t="shared" si="39"/>
        <v>790000</v>
      </c>
      <c r="O130" s="205">
        <f t="shared" si="39"/>
        <v>0</v>
      </c>
      <c r="P130" s="205">
        <f t="shared" si="39"/>
        <v>0</v>
      </c>
      <c r="Q130" s="205">
        <f t="shared" si="39"/>
        <v>2029.37</v>
      </c>
      <c r="R130" s="205">
        <f t="shared" si="39"/>
        <v>42072663.359999999</v>
      </c>
      <c r="S130" s="205">
        <f t="shared" si="39"/>
        <v>0</v>
      </c>
      <c r="T130" s="205">
        <f t="shared" si="39"/>
        <v>0</v>
      </c>
      <c r="U130" s="205">
        <f t="shared" si="39"/>
        <v>0</v>
      </c>
      <c r="V130" s="205">
        <f t="shared" si="39"/>
        <v>0</v>
      </c>
      <c r="W130" s="205">
        <f t="shared" si="39"/>
        <v>27455632.209999993</v>
      </c>
      <c r="X130" s="152"/>
    </row>
    <row r="131" spans="1:36" s="147" customFormat="1" x14ac:dyDescent="0.3">
      <c r="A131" s="309"/>
      <c r="B131" s="310" t="s">
        <v>138</v>
      </c>
      <c r="C131" s="98">
        <f>(C130-W130)*0.0214</f>
        <v>983709.47592800017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19"/>
    </row>
    <row r="132" spans="1:36" s="147" customFormat="1" ht="31.2" x14ac:dyDescent="0.3">
      <c r="A132" s="309"/>
      <c r="B132" s="311" t="s">
        <v>139</v>
      </c>
      <c r="C132" s="98">
        <f>C130+C131</f>
        <v>74407074.205927998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19"/>
    </row>
  </sheetData>
  <autoFilter ref="A9:AW133"/>
  <mergeCells count="54">
    <mergeCell ref="A1:W1"/>
    <mergeCell ref="A71:W71"/>
    <mergeCell ref="A45:W45"/>
    <mergeCell ref="A65:W65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G4:AG8"/>
    <mergeCell ref="A19:B19"/>
    <mergeCell ref="A21:B21"/>
    <mergeCell ref="A22:B22"/>
    <mergeCell ref="A35:B35"/>
    <mergeCell ref="A44:B44"/>
    <mergeCell ref="A36:B36"/>
    <mergeCell ref="A40:B40"/>
    <mergeCell ref="A128:B128"/>
    <mergeCell ref="A129:B129"/>
    <mergeCell ref="A116:W116"/>
    <mergeCell ref="A119:W119"/>
    <mergeCell ref="A23:W23"/>
    <mergeCell ref="A70:B70"/>
    <mergeCell ref="A69:B69"/>
    <mergeCell ref="A63:B63"/>
    <mergeCell ref="A64:B64"/>
    <mergeCell ref="A107:W107"/>
    <mergeCell ref="A86:B86"/>
    <mergeCell ref="A85:W85"/>
    <mergeCell ref="A106:B106"/>
    <mergeCell ref="A89:B89"/>
    <mergeCell ref="A43:B43"/>
    <mergeCell ref="A124:W124"/>
    <mergeCell ref="AI4:AI9"/>
    <mergeCell ref="A10:W10"/>
    <mergeCell ref="AH4:AH8"/>
    <mergeCell ref="H5:H7"/>
    <mergeCell ref="I5:I7"/>
    <mergeCell ref="D5:D7"/>
    <mergeCell ref="J5:J7"/>
    <mergeCell ref="A14:B14"/>
    <mergeCell ref="A16:B16"/>
    <mergeCell ref="A17:B17"/>
    <mergeCell ref="A13:B13"/>
    <mergeCell ref="AF4:AF8"/>
    <mergeCell ref="E5:E7"/>
    <mergeCell ref="F5:F7"/>
    <mergeCell ref="G5:G7"/>
  </mergeCells>
  <pageMargins left="0.23622047244094491" right="0.23622047244094491" top="0.55118110236220474" bottom="0.39370078740157483" header="0.31496062992125984" footer="0.28000000000000003"/>
  <pageSetup paperSize="9" scale="33" orientation="landscape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"/>
  <sheetViews>
    <sheetView view="pageBreakPreview" zoomScale="60" zoomScaleNormal="70" workbookViewId="0">
      <pane xSplit="2" ySplit="9" topLeftCell="D10" activePane="bottomRight" state="frozen"/>
      <selection activeCell="P738" sqref="P738"/>
      <selection pane="topRight" activeCell="P738" sqref="P738"/>
      <selection pane="bottomLeft" activeCell="P738" sqref="P738"/>
      <selection pane="bottomRight" activeCell="N70" sqref="N70:N72"/>
    </sheetView>
  </sheetViews>
  <sheetFormatPr defaultColWidth="9.109375" defaultRowHeight="15.6" x14ac:dyDescent="0.3"/>
  <cols>
    <col min="1" max="1" width="9" style="348" customWidth="1"/>
    <col min="2" max="2" width="48.6640625" style="349" customWidth="1"/>
    <col min="3" max="3" width="20" style="19" customWidth="1"/>
    <col min="4" max="4" width="16.44140625" style="19" customWidth="1"/>
    <col min="5" max="5" width="15.88671875" style="19" customWidth="1"/>
    <col min="6" max="6" width="16.5546875" style="19" customWidth="1"/>
    <col min="7" max="7" width="15.6640625" style="19" customWidth="1"/>
    <col min="8" max="8" width="15.44140625" style="19" customWidth="1"/>
    <col min="9" max="9" width="15.88671875" style="19" customWidth="1"/>
    <col min="10" max="10" width="10.44140625" style="20" customWidth="1"/>
    <col min="11" max="11" width="10.6640625" style="19" customWidth="1"/>
    <col min="12" max="12" width="9.5546875" style="19" bestFit="1" customWidth="1"/>
    <col min="13" max="13" width="7.33203125" style="19" customWidth="1"/>
    <col min="14" max="14" width="18.88671875" style="19" bestFit="1" customWidth="1"/>
    <col min="15" max="15" width="8.33203125" style="19" customWidth="1"/>
    <col min="16" max="16" width="18.44140625" style="19" bestFit="1" customWidth="1"/>
    <col min="17" max="17" width="7.33203125" style="19" customWidth="1"/>
    <col min="18" max="18" width="20.109375" style="19" customWidth="1"/>
    <col min="19" max="19" width="14.44140625" style="19" bestFit="1" customWidth="1"/>
    <col min="20" max="20" width="8.44140625" style="19" customWidth="1"/>
    <col min="21" max="21" width="16.88671875" style="19" customWidth="1"/>
    <col min="22" max="22" width="14.33203125" style="19" customWidth="1"/>
    <col min="23" max="23" width="16.88671875" style="19" customWidth="1"/>
    <col min="24" max="28" width="16.88671875" style="19" hidden="1" customWidth="1"/>
    <col min="29" max="29" width="13.88671875" style="147" hidden="1" customWidth="1"/>
    <col min="30" max="30" width="15" style="147" hidden="1" customWidth="1"/>
    <col min="31" max="31" width="13.88671875" style="147" hidden="1" customWidth="1"/>
    <col min="32" max="32" width="10.5546875" style="147" hidden="1" customWidth="1"/>
    <col min="33" max="33" width="15.5546875" style="147" hidden="1" customWidth="1"/>
    <col min="34" max="34" width="12.44140625" style="147" hidden="1" customWidth="1"/>
    <col min="35" max="35" width="17" style="147" hidden="1" customWidth="1"/>
    <col min="36" max="36" width="17.109375" style="147" hidden="1" customWidth="1"/>
    <col min="37" max="37" width="20.6640625" style="147" hidden="1" customWidth="1"/>
    <col min="38" max="38" width="10.6640625" style="147" hidden="1" customWidth="1"/>
    <col min="39" max="39" width="12.109375" style="147" hidden="1" customWidth="1"/>
    <col min="40" max="40" width="11.6640625" style="147" hidden="1" customWidth="1"/>
    <col min="41" max="41" width="10.33203125" style="147" hidden="1" customWidth="1"/>
    <col min="42" max="43" width="9.109375" style="147" hidden="1" customWidth="1"/>
    <col min="44" max="45" width="0" style="147" hidden="1" customWidth="1"/>
    <col min="46" max="16384" width="9.109375" style="147"/>
  </cols>
  <sheetData>
    <row r="1" spans="1:40" x14ac:dyDescent="0.3">
      <c r="A1" s="399" t="s">
        <v>307</v>
      </c>
      <c r="B1" s="399"/>
      <c r="C1" s="399"/>
      <c r="D1" s="399"/>
      <c r="E1" s="479"/>
      <c r="F1" s="479"/>
      <c r="G1" s="479"/>
      <c r="H1" s="479"/>
      <c r="I1" s="479"/>
      <c r="J1" s="399"/>
      <c r="K1" s="399"/>
      <c r="L1" s="399"/>
      <c r="M1" s="399"/>
      <c r="N1" s="399"/>
      <c r="O1" s="399"/>
      <c r="P1" s="479"/>
      <c r="Q1" s="399"/>
      <c r="R1" s="399"/>
      <c r="S1" s="399"/>
      <c r="T1" s="399"/>
      <c r="U1" s="479"/>
      <c r="V1" s="399"/>
      <c r="W1" s="399"/>
      <c r="X1" s="145"/>
      <c r="Y1" s="145"/>
      <c r="Z1" s="145"/>
      <c r="AA1" s="145"/>
      <c r="AB1" s="145"/>
      <c r="AC1" s="145"/>
      <c r="AD1" s="145"/>
      <c r="AE1" s="145"/>
      <c r="AF1" s="145"/>
      <c r="AG1" s="146"/>
      <c r="AH1" s="146"/>
      <c r="AI1" s="146"/>
      <c r="AJ1" s="146"/>
      <c r="AK1" s="146"/>
      <c r="AL1" s="146"/>
    </row>
    <row r="2" spans="1:40" x14ac:dyDescent="0.3">
      <c r="A2" s="12"/>
      <c r="B2" s="14"/>
      <c r="AC2" s="19"/>
      <c r="AD2" s="19"/>
      <c r="AE2" s="149"/>
      <c r="AF2" s="146"/>
      <c r="AG2" s="146"/>
      <c r="AH2" s="146"/>
      <c r="AI2" s="383" t="s">
        <v>0</v>
      </c>
      <c r="AJ2" s="383"/>
      <c r="AK2" s="383"/>
      <c r="AL2" s="146"/>
    </row>
    <row r="3" spans="1:40" ht="47.25" customHeight="1" x14ac:dyDescent="0.3">
      <c r="A3" s="463" t="s">
        <v>1</v>
      </c>
      <c r="B3" s="463" t="s">
        <v>2</v>
      </c>
      <c r="C3" s="462" t="s">
        <v>3</v>
      </c>
      <c r="D3" s="464" t="s">
        <v>4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6"/>
      <c r="X3" s="152"/>
      <c r="Y3" s="152"/>
      <c r="Z3" s="152"/>
      <c r="AA3" s="152"/>
      <c r="AB3" s="152"/>
      <c r="AC3" s="152"/>
      <c r="AD3" s="153"/>
      <c r="AE3" s="149"/>
      <c r="AF3" s="146"/>
      <c r="AG3" s="146"/>
      <c r="AH3" s="146"/>
      <c r="AI3" s="146"/>
      <c r="AJ3" s="146"/>
      <c r="AK3" s="146"/>
      <c r="AL3" s="146"/>
    </row>
    <row r="4" spans="1:40" ht="54.75" customHeight="1" x14ac:dyDescent="0.3">
      <c r="A4" s="404"/>
      <c r="B4" s="404"/>
      <c r="C4" s="385"/>
      <c r="D4" s="478" t="s">
        <v>5</v>
      </c>
      <c r="E4" s="478"/>
      <c r="F4" s="478"/>
      <c r="G4" s="478"/>
      <c r="H4" s="478"/>
      <c r="I4" s="478"/>
      <c r="J4" s="478" t="s">
        <v>6</v>
      </c>
      <c r="K4" s="478"/>
      <c r="L4" s="478"/>
      <c r="M4" s="478" t="s">
        <v>7</v>
      </c>
      <c r="N4" s="478"/>
      <c r="O4" s="478" t="s">
        <v>8</v>
      </c>
      <c r="P4" s="478"/>
      <c r="Q4" s="478" t="s">
        <v>9</v>
      </c>
      <c r="R4" s="478"/>
      <c r="S4" s="462" t="s">
        <v>24</v>
      </c>
      <c r="T4" s="478" t="s">
        <v>10</v>
      </c>
      <c r="U4" s="478"/>
      <c r="V4" s="478" t="s">
        <v>11</v>
      </c>
      <c r="W4" s="478" t="s">
        <v>12</v>
      </c>
      <c r="X4" s="313"/>
      <c r="Y4" s="314"/>
      <c r="Z4" s="314"/>
      <c r="AA4" s="314"/>
      <c r="AB4" s="314"/>
      <c r="AC4" s="315"/>
      <c r="AD4" s="155"/>
      <c r="AE4" s="155"/>
      <c r="AF4" s="155"/>
      <c r="AG4" s="155"/>
      <c r="AH4" s="155"/>
      <c r="AI4" s="398" t="s">
        <v>13</v>
      </c>
      <c r="AJ4" s="398" t="s">
        <v>14</v>
      </c>
      <c r="AK4" s="398" t="s">
        <v>15</v>
      </c>
      <c r="AL4" s="146"/>
    </row>
    <row r="5" spans="1:40" ht="15.75" customHeight="1" x14ac:dyDescent="0.3">
      <c r="A5" s="404"/>
      <c r="B5" s="404"/>
      <c r="C5" s="385"/>
      <c r="D5" s="478" t="s">
        <v>16</v>
      </c>
      <c r="E5" s="478" t="s">
        <v>17</v>
      </c>
      <c r="F5" s="478" t="s">
        <v>18</v>
      </c>
      <c r="G5" s="478" t="s">
        <v>19</v>
      </c>
      <c r="H5" s="478" t="s">
        <v>20</v>
      </c>
      <c r="I5" s="478" t="s">
        <v>21</v>
      </c>
      <c r="J5" s="486"/>
      <c r="K5" s="478" t="s">
        <v>22</v>
      </c>
      <c r="L5" s="478" t="s">
        <v>23</v>
      </c>
      <c r="M5" s="478"/>
      <c r="N5" s="478"/>
      <c r="O5" s="478"/>
      <c r="P5" s="478"/>
      <c r="Q5" s="478"/>
      <c r="R5" s="478"/>
      <c r="S5" s="385"/>
      <c r="T5" s="478"/>
      <c r="U5" s="478"/>
      <c r="V5" s="478"/>
      <c r="W5" s="478"/>
      <c r="X5" s="313"/>
      <c r="Y5" s="314"/>
      <c r="Z5" s="314"/>
      <c r="AA5" s="314"/>
      <c r="AB5" s="314"/>
      <c r="AC5" s="315"/>
      <c r="AD5" s="155"/>
      <c r="AE5" s="155"/>
      <c r="AF5" s="155"/>
      <c r="AG5" s="155"/>
      <c r="AH5" s="155"/>
      <c r="AI5" s="398"/>
      <c r="AJ5" s="398"/>
      <c r="AK5" s="398"/>
      <c r="AL5" s="146"/>
    </row>
    <row r="6" spans="1:40" ht="15.75" customHeight="1" x14ac:dyDescent="0.3">
      <c r="A6" s="404"/>
      <c r="B6" s="404"/>
      <c r="C6" s="385"/>
      <c r="D6" s="478"/>
      <c r="E6" s="478"/>
      <c r="F6" s="478"/>
      <c r="G6" s="478"/>
      <c r="H6" s="478"/>
      <c r="I6" s="478"/>
      <c r="J6" s="486"/>
      <c r="K6" s="478"/>
      <c r="L6" s="478"/>
      <c r="M6" s="478"/>
      <c r="N6" s="478"/>
      <c r="O6" s="478"/>
      <c r="P6" s="478"/>
      <c r="Q6" s="478"/>
      <c r="R6" s="478"/>
      <c r="S6" s="385"/>
      <c r="T6" s="478"/>
      <c r="U6" s="478"/>
      <c r="V6" s="478"/>
      <c r="W6" s="478"/>
      <c r="X6" s="313"/>
      <c r="Y6" s="314"/>
      <c r="Z6" s="314"/>
      <c r="AA6" s="314"/>
      <c r="AB6" s="314"/>
      <c r="AC6" s="315" t="s">
        <v>25</v>
      </c>
      <c r="AD6" s="155" t="s">
        <v>26</v>
      </c>
      <c r="AE6" s="155" t="s">
        <v>27</v>
      </c>
      <c r="AF6" s="155" t="s">
        <v>28</v>
      </c>
      <c r="AG6" s="155" t="s">
        <v>29</v>
      </c>
      <c r="AH6" s="155"/>
      <c r="AI6" s="398"/>
      <c r="AJ6" s="398"/>
      <c r="AK6" s="398"/>
      <c r="AL6" s="146"/>
    </row>
    <row r="7" spans="1:40" ht="84" customHeight="1" x14ac:dyDescent="0.3">
      <c r="A7" s="405"/>
      <c r="B7" s="405"/>
      <c r="C7" s="400"/>
      <c r="D7" s="478"/>
      <c r="E7" s="478"/>
      <c r="F7" s="478"/>
      <c r="G7" s="478"/>
      <c r="H7" s="478"/>
      <c r="I7" s="478"/>
      <c r="J7" s="486"/>
      <c r="K7" s="478"/>
      <c r="L7" s="478"/>
      <c r="M7" s="478"/>
      <c r="N7" s="478"/>
      <c r="O7" s="478"/>
      <c r="P7" s="478"/>
      <c r="Q7" s="478"/>
      <c r="R7" s="478"/>
      <c r="S7" s="400"/>
      <c r="T7" s="478"/>
      <c r="U7" s="478"/>
      <c r="V7" s="478"/>
      <c r="W7" s="478"/>
      <c r="X7" s="313"/>
      <c r="Y7" s="314"/>
      <c r="Z7" s="314"/>
      <c r="AA7" s="314"/>
      <c r="AB7" s="314"/>
      <c r="AC7" s="315"/>
      <c r="AD7" s="155"/>
      <c r="AE7" s="155"/>
      <c r="AF7" s="155"/>
      <c r="AG7" s="155"/>
      <c r="AH7" s="155"/>
      <c r="AI7" s="398"/>
      <c r="AJ7" s="398"/>
      <c r="AK7" s="398"/>
      <c r="AL7" s="146"/>
    </row>
    <row r="8" spans="1:40" x14ac:dyDescent="0.3">
      <c r="A8" s="316"/>
      <c r="B8" s="159"/>
      <c r="C8" s="155" t="s">
        <v>30</v>
      </c>
      <c r="D8" s="155" t="s">
        <v>30</v>
      </c>
      <c r="E8" s="155" t="s">
        <v>30</v>
      </c>
      <c r="F8" s="155" t="s">
        <v>30</v>
      </c>
      <c r="G8" s="155" t="s">
        <v>30</v>
      </c>
      <c r="H8" s="155" t="s">
        <v>30</v>
      </c>
      <c r="I8" s="155" t="s">
        <v>30</v>
      </c>
      <c r="J8" s="317" t="s">
        <v>31</v>
      </c>
      <c r="K8" s="155" t="s">
        <v>30</v>
      </c>
      <c r="L8" s="155" t="s">
        <v>30</v>
      </c>
      <c r="M8" s="155" t="s">
        <v>32</v>
      </c>
      <c r="N8" s="155" t="s">
        <v>30</v>
      </c>
      <c r="O8" s="155" t="s">
        <v>32</v>
      </c>
      <c r="P8" s="155" t="s">
        <v>30</v>
      </c>
      <c r="Q8" s="155" t="s">
        <v>32</v>
      </c>
      <c r="R8" s="155" t="s">
        <v>30</v>
      </c>
      <c r="S8" s="155" t="s">
        <v>30</v>
      </c>
      <c r="T8" s="155" t="s">
        <v>33</v>
      </c>
      <c r="U8" s="155" t="s">
        <v>30</v>
      </c>
      <c r="V8" s="155" t="s">
        <v>30</v>
      </c>
      <c r="W8" s="155" t="s">
        <v>30</v>
      </c>
      <c r="X8" s="313"/>
      <c r="Y8" s="314"/>
      <c r="Z8" s="314"/>
      <c r="AA8" s="314"/>
      <c r="AB8" s="314"/>
      <c r="AC8" s="315"/>
      <c r="AD8" s="155"/>
      <c r="AE8" s="155"/>
      <c r="AF8" s="155"/>
      <c r="AG8" s="155"/>
      <c r="AH8" s="155"/>
      <c r="AI8" s="398"/>
      <c r="AJ8" s="398"/>
      <c r="AK8" s="398"/>
      <c r="AL8" s="12"/>
    </row>
    <row r="9" spans="1:40" x14ac:dyDescent="0.3">
      <c r="A9" s="162">
        <v>1</v>
      </c>
      <c r="B9" s="161">
        <v>2</v>
      </c>
      <c r="C9" s="162">
        <v>3</v>
      </c>
      <c r="D9" s="161">
        <v>4</v>
      </c>
      <c r="E9" s="162">
        <v>5</v>
      </c>
      <c r="F9" s="161">
        <v>6</v>
      </c>
      <c r="G9" s="162">
        <v>7</v>
      </c>
      <c r="H9" s="161">
        <v>8</v>
      </c>
      <c r="I9" s="162">
        <v>9</v>
      </c>
      <c r="J9" s="317">
        <v>10</v>
      </c>
      <c r="K9" s="162">
        <v>11</v>
      </c>
      <c r="L9" s="161">
        <v>12</v>
      </c>
      <c r="M9" s="162">
        <v>13</v>
      </c>
      <c r="N9" s="161">
        <v>14</v>
      </c>
      <c r="O9" s="162">
        <v>15</v>
      </c>
      <c r="P9" s="161">
        <v>16</v>
      </c>
      <c r="Q9" s="162">
        <v>17</v>
      </c>
      <c r="R9" s="161">
        <v>18</v>
      </c>
      <c r="S9" s="162">
        <v>19</v>
      </c>
      <c r="T9" s="161">
        <v>20</v>
      </c>
      <c r="U9" s="162">
        <v>21</v>
      </c>
      <c r="V9" s="161">
        <v>22</v>
      </c>
      <c r="W9" s="162">
        <v>23</v>
      </c>
      <c r="X9" s="166"/>
      <c r="Y9" s="166"/>
      <c r="Z9" s="166"/>
      <c r="AA9" s="166"/>
      <c r="AB9" s="166"/>
      <c r="AC9" s="165"/>
      <c r="AD9" s="164"/>
      <c r="AE9" s="164"/>
      <c r="AF9" s="166"/>
      <c r="AG9" s="17"/>
      <c r="AH9" s="17"/>
      <c r="AI9" s="17"/>
      <c r="AJ9" s="17"/>
      <c r="AK9" s="17"/>
      <c r="AL9" s="17"/>
    </row>
    <row r="10" spans="1:40" s="229" customFormat="1" ht="18.75" customHeight="1" x14ac:dyDescent="0.3">
      <c r="A10" s="425" t="s">
        <v>103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245"/>
      <c r="Y10" s="245"/>
      <c r="Z10" s="245"/>
      <c r="AA10" s="318" t="s">
        <v>34</v>
      </c>
      <c r="AB10" s="246"/>
      <c r="AC10" s="246"/>
      <c r="AD10" s="246"/>
      <c r="AE10" s="246"/>
      <c r="AF10" s="246"/>
      <c r="AG10" s="205"/>
      <c r="AH10" s="205"/>
      <c r="AI10" s="205"/>
      <c r="AJ10" s="222"/>
      <c r="AK10" s="146"/>
      <c r="AL10" s="146"/>
    </row>
    <row r="11" spans="1:40" ht="15.75" customHeight="1" x14ac:dyDescent="0.3">
      <c r="A11" s="319" t="s">
        <v>197</v>
      </c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2"/>
      <c r="X11" s="152"/>
      <c r="Y11" s="152"/>
      <c r="Z11" s="322"/>
      <c r="AA11" s="322"/>
      <c r="AB11" s="322"/>
      <c r="AC11" s="190"/>
      <c r="AD11" s="152"/>
      <c r="AE11" s="152"/>
      <c r="AF11" s="152"/>
      <c r="AG11" s="152"/>
      <c r="AH11" s="152"/>
      <c r="AI11" s="152"/>
      <c r="AJ11" s="19"/>
      <c r="AK11" s="149"/>
      <c r="AL11" s="146"/>
      <c r="AM11" s="146"/>
    </row>
    <row r="12" spans="1:40" x14ac:dyDescent="0.3">
      <c r="A12" s="28">
        <v>1</v>
      </c>
      <c r="B12" s="30" t="s">
        <v>195</v>
      </c>
      <c r="C12" s="35">
        <f>D12+K12+L12+N12+P12+R12+S12+U12+V12+W12</f>
        <v>968776.28</v>
      </c>
      <c r="D12" s="35"/>
      <c r="E12" s="35"/>
      <c r="F12" s="35"/>
      <c r="G12" s="35"/>
      <c r="H12" s="35"/>
      <c r="I12" s="35"/>
      <c r="J12" s="2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>
        <f>SUM(AC12:AN12)</f>
        <v>968776.28</v>
      </c>
      <c r="X12" s="152">
        <f>C12-E12-F12-G12-H12-I12-N12-P12-R12-S12-U12-V12-W12</f>
        <v>0</v>
      </c>
      <c r="Y12" s="152">
        <f>C12-D12-N12-P12-R12-S12-U12-V12-W12</f>
        <v>0</v>
      </c>
      <c r="Z12" s="190"/>
      <c r="AA12" s="190"/>
      <c r="AB12" s="190"/>
      <c r="AC12" s="190"/>
      <c r="AD12" s="35">
        <v>92275.8</v>
      </c>
      <c r="AE12" s="35"/>
      <c r="AF12" s="35"/>
      <c r="AG12" s="35"/>
      <c r="AH12" s="35">
        <v>93173.440000000002</v>
      </c>
      <c r="AI12" s="35">
        <v>175583.8</v>
      </c>
      <c r="AJ12" s="251"/>
      <c r="AK12" s="252">
        <v>444901.31</v>
      </c>
      <c r="AL12" s="252">
        <v>162841.93</v>
      </c>
      <c r="AM12" s="146"/>
      <c r="AN12" s="146"/>
    </row>
    <row r="13" spans="1:40" s="229" customFormat="1" x14ac:dyDescent="0.3">
      <c r="A13" s="421" t="s">
        <v>35</v>
      </c>
      <c r="B13" s="422"/>
      <c r="C13" s="201">
        <f t="shared" ref="C13:W13" si="0">SUM(C12:C12)</f>
        <v>968776.28</v>
      </c>
      <c r="D13" s="201">
        <f t="shared" si="0"/>
        <v>0</v>
      </c>
      <c r="E13" s="201">
        <f t="shared" si="0"/>
        <v>0</v>
      </c>
      <c r="F13" s="201">
        <f t="shared" si="0"/>
        <v>0</v>
      </c>
      <c r="G13" s="201">
        <f t="shared" si="0"/>
        <v>0</v>
      </c>
      <c r="H13" s="201">
        <f t="shared" si="0"/>
        <v>0</v>
      </c>
      <c r="I13" s="201">
        <f t="shared" si="0"/>
        <v>0</v>
      </c>
      <c r="J13" s="201">
        <f t="shared" si="0"/>
        <v>0</v>
      </c>
      <c r="K13" s="201">
        <f t="shared" si="0"/>
        <v>0</v>
      </c>
      <c r="L13" s="201">
        <f t="shared" si="0"/>
        <v>0</v>
      </c>
      <c r="M13" s="201">
        <f t="shared" si="0"/>
        <v>0</v>
      </c>
      <c r="N13" s="201">
        <f t="shared" si="0"/>
        <v>0</v>
      </c>
      <c r="O13" s="201">
        <f t="shared" si="0"/>
        <v>0</v>
      </c>
      <c r="P13" s="201">
        <f t="shared" si="0"/>
        <v>0</v>
      </c>
      <c r="Q13" s="201">
        <f t="shared" si="0"/>
        <v>0</v>
      </c>
      <c r="R13" s="201">
        <f t="shared" si="0"/>
        <v>0</v>
      </c>
      <c r="S13" s="201">
        <f t="shared" si="0"/>
        <v>0</v>
      </c>
      <c r="T13" s="201">
        <f t="shared" si="0"/>
        <v>0</v>
      </c>
      <c r="U13" s="201">
        <f t="shared" si="0"/>
        <v>0</v>
      </c>
      <c r="V13" s="201">
        <f t="shared" si="0"/>
        <v>0</v>
      </c>
      <c r="W13" s="201">
        <f t="shared" si="0"/>
        <v>968776.28</v>
      </c>
      <c r="X13" s="249"/>
      <c r="Y13" s="249"/>
      <c r="Z13" s="323"/>
      <c r="AA13" s="324"/>
      <c r="AB13" s="201"/>
      <c r="AC13" s="257"/>
      <c r="AD13" s="257"/>
      <c r="AE13" s="257"/>
      <c r="AF13" s="257"/>
      <c r="AG13" s="257"/>
      <c r="AH13" s="325"/>
      <c r="AI13" s="258"/>
      <c r="AJ13" s="258"/>
      <c r="AK13" s="146"/>
      <c r="AL13" s="146"/>
    </row>
    <row r="14" spans="1:40" s="183" customFormat="1" ht="15.75" customHeight="1" x14ac:dyDescent="0.3">
      <c r="A14" s="480" t="s">
        <v>198</v>
      </c>
      <c r="B14" s="481"/>
      <c r="C14" s="52">
        <f>C13</f>
        <v>968776.28</v>
      </c>
      <c r="D14" s="52">
        <f t="shared" ref="D14:W14" si="1">D13</f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2">
        <f t="shared" si="1"/>
        <v>0</v>
      </c>
      <c r="L14" s="52">
        <f t="shared" si="1"/>
        <v>0</v>
      </c>
      <c r="M14" s="52">
        <f t="shared" si="1"/>
        <v>0</v>
      </c>
      <c r="N14" s="52">
        <f t="shared" si="1"/>
        <v>0</v>
      </c>
      <c r="O14" s="52">
        <f t="shared" si="1"/>
        <v>0</v>
      </c>
      <c r="P14" s="52">
        <f t="shared" si="1"/>
        <v>0</v>
      </c>
      <c r="Q14" s="52">
        <f t="shared" si="1"/>
        <v>0</v>
      </c>
      <c r="R14" s="52">
        <f t="shared" si="1"/>
        <v>0</v>
      </c>
      <c r="S14" s="52">
        <f t="shared" si="1"/>
        <v>0</v>
      </c>
      <c r="T14" s="52">
        <f t="shared" si="1"/>
        <v>0</v>
      </c>
      <c r="U14" s="52">
        <f t="shared" si="1"/>
        <v>0</v>
      </c>
      <c r="V14" s="52">
        <f t="shared" si="1"/>
        <v>0</v>
      </c>
      <c r="W14" s="52">
        <f t="shared" si="1"/>
        <v>968776.28</v>
      </c>
      <c r="X14" s="196"/>
      <c r="Y14" s="196"/>
      <c r="Z14" s="326"/>
      <c r="AA14" s="55"/>
      <c r="AB14" s="55"/>
      <c r="AC14" s="192"/>
      <c r="AD14" s="192"/>
      <c r="AE14" s="192"/>
      <c r="AF14" s="192"/>
      <c r="AG14" s="192"/>
      <c r="AH14" s="327"/>
      <c r="AI14" s="328"/>
      <c r="AJ14" s="328"/>
      <c r="AK14" s="329"/>
      <c r="AL14" s="329"/>
    </row>
    <row r="15" spans="1:40" ht="15.75" customHeight="1" x14ac:dyDescent="0.3">
      <c r="A15" s="482" t="s">
        <v>62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4"/>
      <c r="X15" s="152">
        <f t="shared" ref="X15:X23" si="2">C15-E15-F15-G15-H15-I15-N15-P15-R15-S15-U15-V15-W15</f>
        <v>0</v>
      </c>
      <c r="Y15" s="152">
        <f t="shared" ref="Y15:Y24" si="3">C15-D15-N15-P15-R15-S15-U15-V15-W15</f>
        <v>0</v>
      </c>
      <c r="Z15" s="330"/>
      <c r="AA15" s="330"/>
      <c r="AB15" s="330"/>
      <c r="AC15" s="59"/>
      <c r="AD15" s="59"/>
      <c r="AE15" s="59"/>
      <c r="AF15" s="59"/>
      <c r="AG15" s="59"/>
      <c r="AH15" s="59"/>
      <c r="AI15" s="59"/>
      <c r="AJ15" s="59"/>
      <c r="AK15" s="300"/>
      <c r="AL15" s="212"/>
      <c r="AM15" s="146"/>
    </row>
    <row r="16" spans="1:40" x14ac:dyDescent="0.3">
      <c r="A16" s="485" t="s">
        <v>63</v>
      </c>
      <c r="B16" s="485"/>
      <c r="C16" s="201"/>
      <c r="D16" s="201"/>
      <c r="E16" s="205"/>
      <c r="F16" s="205"/>
      <c r="G16" s="205"/>
      <c r="H16" s="205"/>
      <c r="I16" s="205"/>
      <c r="J16" s="220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152">
        <f t="shared" si="2"/>
        <v>0</v>
      </c>
      <c r="Y16" s="152">
        <f t="shared" si="3"/>
        <v>0</v>
      </c>
      <c r="Z16" s="280"/>
      <c r="AA16" s="280"/>
      <c r="AB16" s="280"/>
      <c r="AC16" s="59"/>
      <c r="AD16" s="59"/>
      <c r="AE16" s="59"/>
      <c r="AF16" s="59"/>
      <c r="AG16" s="59"/>
      <c r="AH16" s="59"/>
      <c r="AI16" s="59"/>
      <c r="AJ16" s="59"/>
      <c r="AK16" s="300"/>
      <c r="AL16" s="212"/>
      <c r="AM16" s="146"/>
    </row>
    <row r="17" spans="1:45" x14ac:dyDescent="0.3">
      <c r="A17" s="331">
        <f>A12+1</f>
        <v>2</v>
      </c>
      <c r="B17" s="202" t="s">
        <v>64</v>
      </c>
      <c r="C17" s="201">
        <f t="shared" ref="C17:C23" si="4">D17+K17+L17+N17+P17+R17+S17+U17+V17+W17</f>
        <v>130000</v>
      </c>
      <c r="D17" s="201"/>
      <c r="E17" s="201"/>
      <c r="F17" s="201"/>
      <c r="G17" s="201"/>
      <c r="H17" s="201"/>
      <c r="I17" s="201"/>
      <c r="J17" s="163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>
        <v>130000</v>
      </c>
      <c r="X17" s="152">
        <f t="shared" si="2"/>
        <v>0</v>
      </c>
      <c r="Y17" s="152">
        <f t="shared" si="3"/>
        <v>0</v>
      </c>
      <c r="Z17" s="249"/>
      <c r="AA17" s="249"/>
      <c r="AB17" s="249"/>
      <c r="AC17" s="59"/>
      <c r="AD17" s="59"/>
      <c r="AE17" s="59"/>
      <c r="AF17" s="59"/>
      <c r="AG17" s="59"/>
      <c r="AH17" s="59"/>
      <c r="AI17" s="59"/>
      <c r="AJ17" s="300"/>
      <c r="AK17" s="212"/>
      <c r="AL17" s="332"/>
      <c r="AM17" s="146"/>
    </row>
    <row r="18" spans="1:45" x14ac:dyDescent="0.3">
      <c r="A18" s="331">
        <f t="shared" ref="A18:A23" si="5">A17+1</f>
        <v>3</v>
      </c>
      <c r="B18" s="202" t="s">
        <v>65</v>
      </c>
      <c r="C18" s="201">
        <f t="shared" si="4"/>
        <v>1207707.6499999999</v>
      </c>
      <c r="D18" s="201"/>
      <c r="E18" s="201"/>
      <c r="F18" s="201"/>
      <c r="G18" s="201"/>
      <c r="H18" s="201"/>
      <c r="I18" s="201"/>
      <c r="J18" s="163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>
        <f>SUM(AC18:AO18)</f>
        <v>1207707.6499999999</v>
      </c>
      <c r="X18" s="152">
        <f t="shared" si="2"/>
        <v>0</v>
      </c>
      <c r="Y18" s="152">
        <f t="shared" si="3"/>
        <v>0</v>
      </c>
      <c r="Z18" s="249"/>
      <c r="AA18" s="249"/>
      <c r="AB18" s="249"/>
      <c r="AC18" s="59"/>
      <c r="AD18" s="59"/>
      <c r="AE18" s="59"/>
      <c r="AF18" s="59"/>
      <c r="AG18" s="59"/>
      <c r="AH18" s="59"/>
      <c r="AI18" s="59"/>
      <c r="AJ18" s="300"/>
      <c r="AK18" s="212">
        <v>1207707.6499999999</v>
      </c>
      <c r="AL18" s="332"/>
      <c r="AM18" s="146"/>
    </row>
    <row r="19" spans="1:45" x14ac:dyDescent="0.3">
      <c r="A19" s="331">
        <f t="shared" si="5"/>
        <v>4</v>
      </c>
      <c r="B19" s="67" t="s">
        <v>166</v>
      </c>
      <c r="C19" s="59">
        <f t="shared" si="4"/>
        <v>739312.52</v>
      </c>
      <c r="D19" s="59"/>
      <c r="E19" s="59"/>
      <c r="F19" s="59"/>
      <c r="G19" s="59"/>
      <c r="H19" s="59"/>
      <c r="I19" s="59"/>
      <c r="J19" s="5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>
        <f>SUM(AC19:AO19)</f>
        <v>739312.52</v>
      </c>
      <c r="X19" s="152">
        <f t="shared" si="2"/>
        <v>0</v>
      </c>
      <c r="Y19" s="152">
        <f t="shared" si="3"/>
        <v>0</v>
      </c>
      <c r="Z19" s="190"/>
      <c r="AA19" s="190"/>
      <c r="AB19" s="190"/>
      <c r="AC19" s="59"/>
      <c r="AD19" s="59"/>
      <c r="AE19" s="59"/>
      <c r="AF19" s="59"/>
      <c r="AG19" s="59"/>
      <c r="AH19" s="59"/>
      <c r="AI19" s="59"/>
      <c r="AJ19" s="300"/>
      <c r="AK19" s="212">
        <v>739312.52</v>
      </c>
      <c r="AL19" s="332"/>
      <c r="AM19" s="146"/>
    </row>
    <row r="20" spans="1:45" x14ac:dyDescent="0.3">
      <c r="A20" s="331">
        <f t="shared" si="5"/>
        <v>5</v>
      </c>
      <c r="B20" s="30" t="s">
        <v>209</v>
      </c>
      <c r="C20" s="35">
        <f t="shared" si="4"/>
        <v>1072983.67</v>
      </c>
      <c r="D20" s="35"/>
      <c r="E20" s="35"/>
      <c r="F20" s="35"/>
      <c r="G20" s="35"/>
      <c r="H20" s="35"/>
      <c r="I20" s="35"/>
      <c r="J20" s="2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>
        <f>SUM(AC20:AO20)</f>
        <v>1072983.67</v>
      </c>
      <c r="X20" s="152">
        <f t="shared" si="2"/>
        <v>0</v>
      </c>
      <c r="Y20" s="152">
        <f t="shared" si="3"/>
        <v>0</v>
      </c>
      <c r="Z20" s="190"/>
      <c r="AA20" s="190"/>
      <c r="AB20" s="190"/>
      <c r="AC20" s="59"/>
      <c r="AD20" s="59"/>
      <c r="AE20" s="59"/>
      <c r="AF20" s="59"/>
      <c r="AG20" s="59"/>
      <c r="AH20" s="59"/>
      <c r="AI20" s="59">
        <v>206562.97</v>
      </c>
      <c r="AJ20" s="300"/>
      <c r="AK20" s="212">
        <v>866420.7</v>
      </c>
      <c r="AL20" s="332"/>
      <c r="AM20" s="146"/>
    </row>
    <row r="21" spans="1:45" x14ac:dyDescent="0.3">
      <c r="A21" s="331">
        <f t="shared" si="5"/>
        <v>6</v>
      </c>
      <c r="B21" s="67" t="s">
        <v>167</v>
      </c>
      <c r="C21" s="59">
        <f t="shared" si="4"/>
        <v>2183445.64</v>
      </c>
      <c r="D21" s="59"/>
      <c r="E21" s="59"/>
      <c r="F21" s="59"/>
      <c r="G21" s="59"/>
      <c r="H21" s="59"/>
      <c r="I21" s="59"/>
      <c r="J21" s="5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>
        <f>SUM(AC21:AO21)</f>
        <v>2183445.64</v>
      </c>
      <c r="X21" s="152">
        <f t="shared" si="2"/>
        <v>0</v>
      </c>
      <c r="Y21" s="152">
        <f t="shared" si="3"/>
        <v>0</v>
      </c>
      <c r="Z21" s="190"/>
      <c r="AA21" s="190"/>
      <c r="AB21" s="190"/>
      <c r="AC21" s="59"/>
      <c r="AD21" s="59"/>
      <c r="AE21" s="59"/>
      <c r="AF21" s="59"/>
      <c r="AG21" s="59"/>
      <c r="AH21" s="59"/>
      <c r="AI21" s="59"/>
      <c r="AJ21" s="300"/>
      <c r="AK21" s="212">
        <v>2183445.64</v>
      </c>
      <c r="AL21" s="332"/>
      <c r="AM21" s="146"/>
    </row>
    <row r="22" spans="1:45" x14ac:dyDescent="0.3">
      <c r="A22" s="331">
        <f t="shared" si="5"/>
        <v>7</v>
      </c>
      <c r="B22" s="67" t="s">
        <v>168</v>
      </c>
      <c r="C22" s="59">
        <f t="shared" si="4"/>
        <v>1949742.6</v>
      </c>
      <c r="D22" s="59"/>
      <c r="E22" s="59"/>
      <c r="F22" s="59"/>
      <c r="G22" s="59"/>
      <c r="H22" s="59"/>
      <c r="I22" s="59"/>
      <c r="J22" s="56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>
        <f>SUM(AC22:AO22)</f>
        <v>1949742.6</v>
      </c>
      <c r="X22" s="152">
        <f t="shared" si="2"/>
        <v>0</v>
      </c>
      <c r="Y22" s="152">
        <f t="shared" si="3"/>
        <v>0</v>
      </c>
      <c r="Z22" s="190"/>
      <c r="AA22" s="190"/>
      <c r="AB22" s="190"/>
      <c r="AC22" s="59"/>
      <c r="AD22" s="59"/>
      <c r="AE22" s="59"/>
      <c r="AF22" s="59"/>
      <c r="AG22" s="59"/>
      <c r="AH22" s="59"/>
      <c r="AI22" s="59">
        <v>619201.85</v>
      </c>
      <c r="AJ22" s="300"/>
      <c r="AK22" s="212">
        <v>1330540.75</v>
      </c>
      <c r="AL22" s="332"/>
      <c r="AM22" s="146"/>
    </row>
    <row r="23" spans="1:45" x14ac:dyDescent="0.3">
      <c r="A23" s="331">
        <f t="shared" si="5"/>
        <v>8</v>
      </c>
      <c r="B23" s="67" t="s">
        <v>169</v>
      </c>
      <c r="C23" s="59">
        <f t="shared" si="4"/>
        <v>130000</v>
      </c>
      <c r="D23" s="59"/>
      <c r="E23" s="59"/>
      <c r="F23" s="59"/>
      <c r="G23" s="59"/>
      <c r="H23" s="59"/>
      <c r="I23" s="59"/>
      <c r="J23" s="5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>
        <v>130000</v>
      </c>
      <c r="X23" s="152">
        <f t="shared" si="2"/>
        <v>0</v>
      </c>
      <c r="Y23" s="152">
        <f t="shared" si="3"/>
        <v>0</v>
      </c>
      <c r="Z23" s="190"/>
      <c r="AA23" s="190"/>
      <c r="AB23" s="190"/>
      <c r="AC23" s="59"/>
      <c r="AD23" s="59"/>
      <c r="AE23" s="59"/>
      <c r="AF23" s="59"/>
      <c r="AG23" s="59"/>
      <c r="AH23" s="59"/>
      <c r="AI23" s="59"/>
      <c r="AJ23" s="59"/>
      <c r="AK23" s="300"/>
      <c r="AL23" s="212"/>
      <c r="AM23" s="146"/>
    </row>
    <row r="24" spans="1:45" x14ac:dyDescent="0.3">
      <c r="A24" s="468" t="s">
        <v>35</v>
      </c>
      <c r="B24" s="469"/>
      <c r="C24" s="201">
        <f>SUM(C17:C23)</f>
        <v>7413192.0800000001</v>
      </c>
      <c r="D24" s="201">
        <f t="shared" ref="D24:W24" si="6">SUM(D17:D23)</f>
        <v>0</v>
      </c>
      <c r="E24" s="201">
        <f t="shared" si="6"/>
        <v>0</v>
      </c>
      <c r="F24" s="201">
        <f t="shared" si="6"/>
        <v>0</v>
      </c>
      <c r="G24" s="201">
        <f t="shared" si="6"/>
        <v>0</v>
      </c>
      <c r="H24" s="201">
        <f t="shared" si="6"/>
        <v>0</v>
      </c>
      <c r="I24" s="201">
        <f t="shared" si="6"/>
        <v>0</v>
      </c>
      <c r="J24" s="201">
        <f t="shared" si="6"/>
        <v>0</v>
      </c>
      <c r="K24" s="201">
        <f t="shared" si="6"/>
        <v>0</v>
      </c>
      <c r="L24" s="201">
        <f t="shared" si="6"/>
        <v>0</v>
      </c>
      <c r="M24" s="201">
        <f t="shared" si="6"/>
        <v>0</v>
      </c>
      <c r="N24" s="201">
        <f t="shared" si="6"/>
        <v>0</v>
      </c>
      <c r="O24" s="201">
        <f t="shared" si="6"/>
        <v>0</v>
      </c>
      <c r="P24" s="201">
        <f t="shared" si="6"/>
        <v>0</v>
      </c>
      <c r="Q24" s="201">
        <f t="shared" si="6"/>
        <v>0</v>
      </c>
      <c r="R24" s="201">
        <f t="shared" si="6"/>
        <v>0</v>
      </c>
      <c r="S24" s="201">
        <f t="shared" si="6"/>
        <v>0</v>
      </c>
      <c r="T24" s="201">
        <f t="shared" si="6"/>
        <v>0</v>
      </c>
      <c r="U24" s="201">
        <f t="shared" si="6"/>
        <v>0</v>
      </c>
      <c r="V24" s="201">
        <f t="shared" si="6"/>
        <v>0</v>
      </c>
      <c r="W24" s="201">
        <f t="shared" si="6"/>
        <v>7413192.0800000001</v>
      </c>
      <c r="X24" s="152">
        <f>C24-E24-F24-G24-H24-I24-N24-P24-R24-S24-U24-V24-W24</f>
        <v>0</v>
      </c>
      <c r="Y24" s="152">
        <f t="shared" si="3"/>
        <v>0</v>
      </c>
      <c r="Z24" s="249"/>
      <c r="AA24" s="249"/>
      <c r="AB24" s="249"/>
      <c r="AC24" s="333" t="e">
        <f>SUM(#REF!)</f>
        <v>#REF!</v>
      </c>
      <c r="AD24" s="59"/>
      <c r="AE24" s="59"/>
      <c r="AF24" s="59"/>
      <c r="AG24" s="59"/>
      <c r="AH24" s="59"/>
      <c r="AI24" s="59"/>
      <c r="AJ24" s="59"/>
      <c r="AK24" s="300"/>
      <c r="AL24" s="212"/>
      <c r="AM24" s="146"/>
    </row>
    <row r="25" spans="1:45" x14ac:dyDescent="0.3">
      <c r="A25" s="480" t="s">
        <v>66</v>
      </c>
      <c r="B25" s="481"/>
      <c r="C25" s="205">
        <f>C24</f>
        <v>7413192.0800000001</v>
      </c>
      <c r="D25" s="205">
        <f t="shared" ref="D25:W25" si="7">D24</f>
        <v>0</v>
      </c>
      <c r="E25" s="205">
        <f t="shared" si="7"/>
        <v>0</v>
      </c>
      <c r="F25" s="205">
        <f t="shared" si="7"/>
        <v>0</v>
      </c>
      <c r="G25" s="205">
        <f t="shared" si="7"/>
        <v>0</v>
      </c>
      <c r="H25" s="205">
        <f t="shared" si="7"/>
        <v>0</v>
      </c>
      <c r="I25" s="205">
        <f t="shared" si="7"/>
        <v>0</v>
      </c>
      <c r="J25" s="205">
        <f t="shared" si="7"/>
        <v>0</v>
      </c>
      <c r="K25" s="205">
        <f t="shared" si="7"/>
        <v>0</v>
      </c>
      <c r="L25" s="205">
        <f t="shared" si="7"/>
        <v>0</v>
      </c>
      <c r="M25" s="205">
        <f t="shared" si="7"/>
        <v>0</v>
      </c>
      <c r="N25" s="205">
        <f t="shared" si="7"/>
        <v>0</v>
      </c>
      <c r="O25" s="205">
        <f t="shared" si="7"/>
        <v>0</v>
      </c>
      <c r="P25" s="205">
        <f t="shared" si="7"/>
        <v>0</v>
      </c>
      <c r="Q25" s="205">
        <f t="shared" si="7"/>
        <v>0</v>
      </c>
      <c r="R25" s="205">
        <f t="shared" si="7"/>
        <v>0</v>
      </c>
      <c r="S25" s="205">
        <f t="shared" si="7"/>
        <v>0</v>
      </c>
      <c r="T25" s="205">
        <f t="shared" si="7"/>
        <v>0</v>
      </c>
      <c r="U25" s="205">
        <f t="shared" si="7"/>
        <v>0</v>
      </c>
      <c r="V25" s="205">
        <f t="shared" si="7"/>
        <v>0</v>
      </c>
      <c r="W25" s="205">
        <f t="shared" si="7"/>
        <v>7413192.0800000001</v>
      </c>
      <c r="X25" s="152">
        <f>C25-E25-F25-G25-H25-I25-N25-P25-R25-S25-U25-V25-W25</f>
        <v>0</v>
      </c>
      <c r="Y25" s="152">
        <f>C25-D25-N25-P25-R25-S25-U25-V25-W25</f>
        <v>0</v>
      </c>
      <c r="Z25" s="152"/>
      <c r="AA25" s="152"/>
      <c r="AB25" s="152"/>
      <c r="AC25" s="204" t="e">
        <f>AC24+#REF!+#REF!+#REF!+#REF!+#REF!+#REF!+#REF!+#REF!+#REF!</f>
        <v>#REF!</v>
      </c>
      <c r="AD25" s="152"/>
      <c r="AE25" s="152"/>
      <c r="AF25" s="152"/>
      <c r="AG25" s="152"/>
      <c r="AH25" s="152"/>
      <c r="AI25" s="152"/>
      <c r="AJ25" s="19"/>
      <c r="AK25" s="149"/>
      <c r="AL25" s="146"/>
      <c r="AM25" s="146"/>
    </row>
    <row r="26" spans="1:45" x14ac:dyDescent="0.3">
      <c r="A26" s="475" t="s">
        <v>67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7"/>
      <c r="X26" s="152"/>
      <c r="Y26" s="152"/>
      <c r="Z26" s="152"/>
      <c r="AA26" s="152"/>
      <c r="AB26" s="152"/>
      <c r="AC26" s="204"/>
      <c r="AD26" s="152"/>
      <c r="AE26" s="152"/>
      <c r="AF26" s="152"/>
      <c r="AG26" s="152"/>
      <c r="AH26" s="152"/>
      <c r="AI26" s="152"/>
      <c r="AJ26" s="19"/>
      <c r="AK26" s="149"/>
      <c r="AL26" s="146"/>
      <c r="AM26" s="146"/>
    </row>
    <row r="27" spans="1:45" x14ac:dyDescent="0.3">
      <c r="A27" s="472" t="s">
        <v>290</v>
      </c>
      <c r="B27" s="473"/>
      <c r="C27" s="47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52"/>
      <c r="Y27" s="152"/>
      <c r="Z27" s="152"/>
      <c r="AA27" s="152"/>
      <c r="AB27" s="152"/>
      <c r="AC27" s="204"/>
      <c r="AD27" s="152"/>
      <c r="AE27" s="152"/>
      <c r="AF27" s="152"/>
      <c r="AG27" s="152"/>
      <c r="AH27" s="152"/>
      <c r="AI27" s="152"/>
      <c r="AJ27" s="19"/>
      <c r="AK27" s="149"/>
      <c r="AL27" s="146"/>
      <c r="AM27" s="146"/>
    </row>
    <row r="28" spans="1:45" x14ac:dyDescent="0.3">
      <c r="A28" s="113">
        <f>A23+1</f>
        <v>9</v>
      </c>
      <c r="B28" s="90" t="s">
        <v>291</v>
      </c>
      <c r="C28" s="114">
        <f>D28+K28+L28+N28+P28+R28+S28+W28+X28+Y28</f>
        <v>130000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4">
        <v>130000</v>
      </c>
      <c r="X28" s="152"/>
      <c r="Y28" s="152"/>
      <c r="Z28" s="152"/>
      <c r="AA28" s="152"/>
      <c r="AB28" s="152"/>
      <c r="AC28" s="204"/>
      <c r="AD28" s="152"/>
      <c r="AE28" s="152"/>
      <c r="AF28" s="152"/>
      <c r="AG28" s="152"/>
      <c r="AH28" s="152"/>
      <c r="AI28" s="152"/>
      <c r="AJ28" s="19"/>
      <c r="AK28" s="149"/>
      <c r="AL28" s="146"/>
      <c r="AM28" s="146"/>
    </row>
    <row r="29" spans="1:45" x14ac:dyDescent="0.3">
      <c r="A29" s="421" t="s">
        <v>35</v>
      </c>
      <c r="B29" s="422"/>
      <c r="C29" s="114">
        <f>C28</f>
        <v>130000</v>
      </c>
      <c r="D29" s="114">
        <f t="shared" ref="D29:AS30" si="8">D28</f>
        <v>0</v>
      </c>
      <c r="E29" s="114">
        <f t="shared" si="8"/>
        <v>0</v>
      </c>
      <c r="F29" s="114">
        <f t="shared" si="8"/>
        <v>0</v>
      </c>
      <c r="G29" s="114">
        <f t="shared" si="8"/>
        <v>0</v>
      </c>
      <c r="H29" s="114">
        <f t="shared" si="8"/>
        <v>0</v>
      </c>
      <c r="I29" s="114">
        <f t="shared" si="8"/>
        <v>0</v>
      </c>
      <c r="J29" s="114">
        <f t="shared" si="8"/>
        <v>0</v>
      </c>
      <c r="K29" s="114">
        <f t="shared" si="8"/>
        <v>0</v>
      </c>
      <c r="L29" s="114">
        <f t="shared" si="8"/>
        <v>0</v>
      </c>
      <c r="M29" s="114">
        <f t="shared" si="8"/>
        <v>0</v>
      </c>
      <c r="N29" s="114">
        <f t="shared" si="8"/>
        <v>0</v>
      </c>
      <c r="O29" s="114">
        <f t="shared" si="8"/>
        <v>0</v>
      </c>
      <c r="P29" s="114">
        <f t="shared" si="8"/>
        <v>0</v>
      </c>
      <c r="Q29" s="114">
        <f t="shared" si="8"/>
        <v>0</v>
      </c>
      <c r="R29" s="114">
        <f t="shared" si="8"/>
        <v>0</v>
      </c>
      <c r="S29" s="114">
        <f t="shared" si="8"/>
        <v>0</v>
      </c>
      <c r="T29" s="114">
        <f t="shared" si="8"/>
        <v>0</v>
      </c>
      <c r="U29" s="114">
        <f t="shared" si="8"/>
        <v>0</v>
      </c>
      <c r="V29" s="114">
        <f t="shared" si="8"/>
        <v>0</v>
      </c>
      <c r="W29" s="114">
        <f t="shared" si="8"/>
        <v>130000</v>
      </c>
      <c r="X29" s="114">
        <f t="shared" si="8"/>
        <v>0</v>
      </c>
      <c r="Y29" s="114">
        <f t="shared" si="8"/>
        <v>0</v>
      </c>
      <c r="Z29" s="114">
        <f t="shared" si="8"/>
        <v>0</v>
      </c>
      <c r="AA29" s="114">
        <f t="shared" si="8"/>
        <v>0</v>
      </c>
      <c r="AB29" s="114">
        <f t="shared" si="8"/>
        <v>0</v>
      </c>
      <c r="AC29" s="114">
        <f t="shared" si="8"/>
        <v>0</v>
      </c>
      <c r="AD29" s="114">
        <f t="shared" si="8"/>
        <v>0</v>
      </c>
      <c r="AE29" s="114">
        <f t="shared" si="8"/>
        <v>0</v>
      </c>
      <c r="AF29" s="114">
        <f t="shared" si="8"/>
        <v>0</v>
      </c>
      <c r="AG29" s="114">
        <f t="shared" si="8"/>
        <v>0</v>
      </c>
      <c r="AH29" s="114">
        <f t="shared" si="8"/>
        <v>0</v>
      </c>
      <c r="AI29" s="114">
        <f t="shared" si="8"/>
        <v>0</v>
      </c>
      <c r="AJ29" s="114">
        <f t="shared" si="8"/>
        <v>0</v>
      </c>
      <c r="AK29" s="114">
        <f t="shared" si="8"/>
        <v>0</v>
      </c>
      <c r="AL29" s="114">
        <f t="shared" si="8"/>
        <v>0</v>
      </c>
      <c r="AM29" s="114">
        <f t="shared" si="8"/>
        <v>0</v>
      </c>
      <c r="AN29" s="114">
        <f t="shared" si="8"/>
        <v>0</v>
      </c>
      <c r="AO29" s="114">
        <f t="shared" si="8"/>
        <v>0</v>
      </c>
      <c r="AP29" s="114">
        <f t="shared" si="8"/>
        <v>0</v>
      </c>
      <c r="AQ29" s="114">
        <f t="shared" si="8"/>
        <v>0</v>
      </c>
      <c r="AR29" s="114">
        <f t="shared" si="8"/>
        <v>0</v>
      </c>
      <c r="AS29" s="114">
        <f t="shared" si="8"/>
        <v>0</v>
      </c>
    </row>
    <row r="30" spans="1:45" x14ac:dyDescent="0.3">
      <c r="A30" s="15" t="s">
        <v>72</v>
      </c>
      <c r="B30" s="334"/>
      <c r="C30" s="104">
        <f>C29</f>
        <v>130000</v>
      </c>
      <c r="D30" s="104">
        <f t="shared" si="8"/>
        <v>0</v>
      </c>
      <c r="E30" s="104">
        <f t="shared" si="8"/>
        <v>0</v>
      </c>
      <c r="F30" s="104">
        <f t="shared" si="8"/>
        <v>0</v>
      </c>
      <c r="G30" s="104">
        <f t="shared" si="8"/>
        <v>0</v>
      </c>
      <c r="H30" s="104">
        <f t="shared" si="8"/>
        <v>0</v>
      </c>
      <c r="I30" s="104">
        <f t="shared" si="8"/>
        <v>0</v>
      </c>
      <c r="J30" s="104">
        <f t="shared" si="8"/>
        <v>0</v>
      </c>
      <c r="K30" s="104">
        <f t="shared" si="8"/>
        <v>0</v>
      </c>
      <c r="L30" s="104">
        <f t="shared" si="8"/>
        <v>0</v>
      </c>
      <c r="M30" s="104">
        <f t="shared" si="8"/>
        <v>0</v>
      </c>
      <c r="N30" s="104">
        <f t="shared" si="8"/>
        <v>0</v>
      </c>
      <c r="O30" s="104">
        <f t="shared" si="8"/>
        <v>0</v>
      </c>
      <c r="P30" s="104">
        <f t="shared" si="8"/>
        <v>0</v>
      </c>
      <c r="Q30" s="104">
        <f t="shared" si="8"/>
        <v>0</v>
      </c>
      <c r="R30" s="104">
        <f t="shared" si="8"/>
        <v>0</v>
      </c>
      <c r="S30" s="104">
        <f t="shared" si="8"/>
        <v>0</v>
      </c>
      <c r="T30" s="104">
        <f t="shared" si="8"/>
        <v>0</v>
      </c>
      <c r="U30" s="104">
        <f t="shared" si="8"/>
        <v>0</v>
      </c>
      <c r="V30" s="104">
        <f t="shared" si="8"/>
        <v>0</v>
      </c>
      <c r="W30" s="104">
        <f t="shared" si="8"/>
        <v>130000</v>
      </c>
      <c r="X30" s="104">
        <f t="shared" si="8"/>
        <v>0</v>
      </c>
      <c r="Y30" s="104">
        <f t="shared" si="8"/>
        <v>0</v>
      </c>
      <c r="Z30" s="104">
        <f t="shared" si="8"/>
        <v>0</v>
      </c>
      <c r="AA30" s="104">
        <f t="shared" si="8"/>
        <v>0</v>
      </c>
      <c r="AB30" s="104">
        <f t="shared" si="8"/>
        <v>0</v>
      </c>
      <c r="AC30" s="104">
        <f t="shared" si="8"/>
        <v>0</v>
      </c>
      <c r="AD30" s="104">
        <f t="shared" si="8"/>
        <v>0</v>
      </c>
      <c r="AE30" s="104">
        <f t="shared" si="8"/>
        <v>0</v>
      </c>
      <c r="AF30" s="104">
        <f t="shared" si="8"/>
        <v>0</v>
      </c>
      <c r="AG30" s="104">
        <f t="shared" si="8"/>
        <v>0</v>
      </c>
      <c r="AH30" s="104">
        <f t="shared" si="8"/>
        <v>0</v>
      </c>
      <c r="AI30" s="104">
        <f t="shared" si="8"/>
        <v>0</v>
      </c>
      <c r="AJ30" s="104">
        <f t="shared" si="8"/>
        <v>0</v>
      </c>
      <c r="AK30" s="104">
        <f t="shared" si="8"/>
        <v>0</v>
      </c>
      <c r="AL30" s="104">
        <f t="shared" si="8"/>
        <v>0</v>
      </c>
      <c r="AM30" s="104">
        <f t="shared" si="8"/>
        <v>0</v>
      </c>
      <c r="AN30" s="104">
        <f t="shared" si="8"/>
        <v>0</v>
      </c>
      <c r="AO30" s="104">
        <f t="shared" si="8"/>
        <v>0</v>
      </c>
      <c r="AP30" s="104">
        <f t="shared" si="8"/>
        <v>0</v>
      </c>
      <c r="AQ30" s="104">
        <f t="shared" si="8"/>
        <v>0</v>
      </c>
      <c r="AR30" s="104">
        <f t="shared" si="8"/>
        <v>0</v>
      </c>
      <c r="AS30" s="104">
        <f t="shared" si="8"/>
        <v>0</v>
      </c>
    </row>
    <row r="31" spans="1:45" x14ac:dyDescent="0.3">
      <c r="A31" s="459" t="s">
        <v>211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9"/>
      <c r="X31" s="152">
        <f>C31-E31-F31-G31-H31-I31-N31-P31-R31-S31-U31-V31-W31</f>
        <v>0</v>
      </c>
      <c r="Y31" s="152">
        <f>C31-D31-N31-P31-R31-S31-U31-V31-W31</f>
        <v>0</v>
      </c>
      <c r="Z31" s="55"/>
      <c r="AA31" s="55"/>
      <c r="AB31" s="55"/>
      <c r="AC31" s="55"/>
      <c r="AD31" s="35"/>
      <c r="AE31" s="35"/>
      <c r="AF31" s="35"/>
      <c r="AG31" s="35"/>
      <c r="AH31" s="35"/>
      <c r="AI31" s="35"/>
      <c r="AJ31" s="35"/>
      <c r="AK31" s="35"/>
      <c r="AL31" s="35"/>
      <c r="AM31" s="23"/>
      <c r="AN31" s="35"/>
      <c r="AO31" s="35"/>
      <c r="AP31" s="35"/>
      <c r="AQ31" s="35"/>
    </row>
    <row r="32" spans="1:45" x14ac:dyDescent="0.3">
      <c r="A32" s="356" t="s">
        <v>212</v>
      </c>
      <c r="B32" s="356"/>
      <c r="C32" s="98"/>
      <c r="D32" s="98"/>
      <c r="E32" s="98"/>
      <c r="F32" s="98"/>
      <c r="G32" s="98"/>
      <c r="H32" s="98"/>
      <c r="I32" s="98"/>
      <c r="J32" s="9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52">
        <f>C32-E32-F32-G32-H32-I32-N32-P32-R32-S32-U32-V32-W32</f>
        <v>0</v>
      </c>
      <c r="Y32" s="152">
        <f>C32-D32-N32-P32-R32-S32-U32-V32-W32</f>
        <v>0</v>
      </c>
      <c r="Z32" s="55"/>
      <c r="AA32" s="55"/>
      <c r="AB32" s="55"/>
      <c r="AC32" s="55"/>
      <c r="AD32" s="35"/>
      <c r="AE32" s="35"/>
      <c r="AF32" s="35"/>
      <c r="AG32" s="35"/>
      <c r="AH32" s="35"/>
      <c r="AI32" s="35"/>
      <c r="AJ32" s="35"/>
      <c r="AK32" s="35"/>
      <c r="AL32" s="35"/>
      <c r="AM32" s="23"/>
      <c r="AN32" s="35"/>
      <c r="AO32" s="35"/>
      <c r="AP32" s="35"/>
      <c r="AQ32" s="35"/>
    </row>
    <row r="33" spans="1:43" x14ac:dyDescent="0.3">
      <c r="A33" s="331">
        <f>A28+1</f>
        <v>10</v>
      </c>
      <c r="B33" s="30" t="s">
        <v>213</v>
      </c>
      <c r="C33" s="35">
        <f>D33+K33+L33+N33+P33+R33+S33+U33+V33+W33</f>
        <v>1634102.77</v>
      </c>
      <c r="D33" s="35"/>
      <c r="E33" s="35"/>
      <c r="F33" s="35"/>
      <c r="G33" s="35"/>
      <c r="H33" s="35"/>
      <c r="I33" s="35"/>
      <c r="J33" s="2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>
        <f>SUM(AD33:AQ33)</f>
        <v>1634102.77</v>
      </c>
      <c r="X33" s="152">
        <f>C33-E33-F33-G33-H33-I33-N33-P33-R33-S33-U33-V33-W33</f>
        <v>0</v>
      </c>
      <c r="Y33" s="152">
        <f>C33-D33-N33-P33-R33-S33-U33-V33-W33</f>
        <v>0</v>
      </c>
      <c r="Z33" s="190"/>
      <c r="AA33" s="190"/>
      <c r="AB33" s="190"/>
      <c r="AC33" s="190"/>
      <c r="AD33" s="35"/>
      <c r="AE33" s="35"/>
      <c r="AF33" s="35"/>
      <c r="AG33" s="35"/>
      <c r="AH33" s="35"/>
      <c r="AI33" s="35"/>
      <c r="AJ33" s="35"/>
      <c r="AK33" s="35"/>
      <c r="AL33" s="35">
        <v>403410.15</v>
      </c>
      <c r="AM33" s="23">
        <v>327939.89</v>
      </c>
      <c r="AN33" s="35">
        <v>902752.73</v>
      </c>
      <c r="AO33" s="35"/>
      <c r="AP33" s="35"/>
      <c r="AQ33" s="35"/>
    </row>
    <row r="34" spans="1:43" s="229" customFormat="1" x14ac:dyDescent="0.3">
      <c r="A34" s="421" t="s">
        <v>35</v>
      </c>
      <c r="B34" s="422"/>
      <c r="C34" s="201">
        <f t="shared" ref="C34:W34" si="9">SUM(C33:C33)</f>
        <v>1634102.77</v>
      </c>
      <c r="D34" s="201">
        <f t="shared" si="9"/>
        <v>0</v>
      </c>
      <c r="E34" s="201">
        <f t="shared" si="9"/>
        <v>0</v>
      </c>
      <c r="F34" s="201">
        <f t="shared" si="9"/>
        <v>0</v>
      </c>
      <c r="G34" s="201">
        <f t="shared" si="9"/>
        <v>0</v>
      </c>
      <c r="H34" s="201">
        <f t="shared" si="9"/>
        <v>0</v>
      </c>
      <c r="I34" s="201">
        <f t="shared" si="9"/>
        <v>0</v>
      </c>
      <c r="J34" s="201">
        <f t="shared" si="9"/>
        <v>0</v>
      </c>
      <c r="K34" s="201">
        <f t="shared" si="9"/>
        <v>0</v>
      </c>
      <c r="L34" s="201">
        <f t="shared" si="9"/>
        <v>0</v>
      </c>
      <c r="M34" s="201">
        <f t="shared" si="9"/>
        <v>0</v>
      </c>
      <c r="N34" s="201">
        <f t="shared" si="9"/>
        <v>0</v>
      </c>
      <c r="O34" s="201">
        <f t="shared" si="9"/>
        <v>0</v>
      </c>
      <c r="P34" s="201">
        <f t="shared" si="9"/>
        <v>0</v>
      </c>
      <c r="Q34" s="201">
        <f t="shared" si="9"/>
        <v>0</v>
      </c>
      <c r="R34" s="201">
        <f t="shared" si="9"/>
        <v>0</v>
      </c>
      <c r="S34" s="201">
        <f t="shared" si="9"/>
        <v>0</v>
      </c>
      <c r="T34" s="201">
        <f t="shared" si="9"/>
        <v>0</v>
      </c>
      <c r="U34" s="201">
        <f t="shared" si="9"/>
        <v>0</v>
      </c>
      <c r="V34" s="201">
        <f t="shared" si="9"/>
        <v>0</v>
      </c>
      <c r="W34" s="201">
        <f t="shared" si="9"/>
        <v>1634102.77</v>
      </c>
      <c r="X34" s="249"/>
      <c r="Y34" s="249"/>
      <c r="Z34" s="323"/>
      <c r="AA34" s="324"/>
      <c r="AB34" s="201"/>
      <c r="AC34" s="201"/>
      <c r="AD34" s="201"/>
      <c r="AE34" s="201"/>
      <c r="AF34" s="201"/>
      <c r="AG34" s="201"/>
      <c r="AH34" s="221"/>
      <c r="AI34" s="222"/>
      <c r="AJ34" s="222"/>
      <c r="AK34" s="146"/>
      <c r="AL34" s="146"/>
    </row>
    <row r="35" spans="1:43" s="229" customFormat="1" x14ac:dyDescent="0.3">
      <c r="A35" s="293" t="s">
        <v>215</v>
      </c>
      <c r="B35" s="29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90"/>
      <c r="Y35" s="190"/>
      <c r="Z35" s="335"/>
      <c r="AA35" s="190"/>
      <c r="AB35" s="35"/>
      <c r="AC35" s="35"/>
      <c r="AD35" s="35"/>
      <c r="AE35" s="35"/>
      <c r="AF35" s="35"/>
      <c r="AG35" s="35"/>
      <c r="AH35" s="35"/>
      <c r="AI35" s="35"/>
      <c r="AJ35" s="35"/>
      <c r="AK35" s="23"/>
      <c r="AL35" s="35"/>
      <c r="AM35" s="35"/>
      <c r="AN35" s="35"/>
      <c r="AO35" s="35"/>
    </row>
    <row r="36" spans="1:43" s="229" customFormat="1" x14ac:dyDescent="0.3">
      <c r="A36" s="331">
        <f>A33+1</f>
        <v>11</v>
      </c>
      <c r="B36" s="253" t="s">
        <v>216</v>
      </c>
      <c r="C36" s="35">
        <f>D36+K36+L36+N36+P36+R36+S36+U36+V36+W36</f>
        <v>130000</v>
      </c>
      <c r="D36" s="35">
        <f>E36+F36+G36+H36+I36</f>
        <v>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>
        <v>130000</v>
      </c>
      <c r="X36" s="190"/>
      <c r="Y36" s="190"/>
      <c r="Z36" s="335"/>
      <c r="AA36" s="190"/>
      <c r="AB36" s="35"/>
      <c r="AC36" s="35"/>
      <c r="AD36" s="35"/>
      <c r="AE36" s="35"/>
      <c r="AF36" s="35"/>
      <c r="AG36" s="35"/>
      <c r="AH36" s="35"/>
      <c r="AI36" s="35"/>
      <c r="AJ36" s="35"/>
      <c r="AK36" s="23"/>
      <c r="AL36" s="35"/>
      <c r="AM36" s="35"/>
      <c r="AN36" s="35"/>
      <c r="AO36" s="35"/>
    </row>
    <row r="37" spans="1:43" s="229" customFormat="1" x14ac:dyDescent="0.3">
      <c r="A37" s="331">
        <f>A36+1</f>
        <v>12</v>
      </c>
      <c r="B37" s="253" t="s">
        <v>217</v>
      </c>
      <c r="C37" s="35">
        <f>D37+K37+L37+N37+P37+R37+S37+U37+V37+W37</f>
        <v>492972.77</v>
      </c>
      <c r="D37" s="35">
        <f>E37+F37+G37+H37+I37</f>
        <v>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>
        <f>SUM(AB37:AO37)</f>
        <v>492972.77</v>
      </c>
      <c r="X37" s="190"/>
      <c r="Y37" s="190"/>
      <c r="Z37" s="335"/>
      <c r="AA37" s="190"/>
      <c r="AB37" s="35"/>
      <c r="AC37" s="35"/>
      <c r="AD37" s="35">
        <v>118684.68</v>
      </c>
      <c r="AE37" s="35"/>
      <c r="AF37" s="35"/>
      <c r="AG37" s="35"/>
      <c r="AH37" s="35"/>
      <c r="AI37" s="35"/>
      <c r="AJ37" s="35"/>
      <c r="AK37" s="23">
        <v>374288.09</v>
      </c>
      <c r="AL37" s="35"/>
      <c r="AM37" s="35"/>
      <c r="AN37" s="35"/>
      <c r="AO37" s="35"/>
    </row>
    <row r="38" spans="1:43" s="229" customFormat="1" x14ac:dyDescent="0.3">
      <c r="A38" s="331">
        <f>A37+1</f>
        <v>13</v>
      </c>
      <c r="B38" s="253" t="s">
        <v>218</v>
      </c>
      <c r="C38" s="35">
        <f>D38+K38+L38+N38+P38+R38+S38+U38+V38+W38</f>
        <v>115701.19</v>
      </c>
      <c r="D38" s="35">
        <f>E38+F38+G38+H38+I38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>
        <f>SUM(AB38:AO38)</f>
        <v>115701.19</v>
      </c>
      <c r="X38" s="190"/>
      <c r="Y38" s="190"/>
      <c r="Z38" s="335"/>
      <c r="AA38" s="190"/>
      <c r="AB38" s="35"/>
      <c r="AC38" s="35"/>
      <c r="AD38" s="35">
        <v>115701.19</v>
      </c>
      <c r="AE38" s="35"/>
      <c r="AF38" s="35"/>
      <c r="AG38" s="35"/>
      <c r="AH38" s="35"/>
      <c r="AI38" s="35"/>
      <c r="AJ38" s="35"/>
      <c r="AK38" s="23"/>
      <c r="AL38" s="35"/>
      <c r="AM38" s="35"/>
      <c r="AN38" s="35"/>
      <c r="AO38" s="35"/>
    </row>
    <row r="39" spans="1:43" s="229" customFormat="1" x14ac:dyDescent="0.3">
      <c r="A39" s="331">
        <f>A38+1</f>
        <v>14</v>
      </c>
      <c r="B39" s="253" t="s">
        <v>219</v>
      </c>
      <c r="C39" s="35">
        <f>D39+K39+L39+N39+P39+R39+S39+U39+V39+W39</f>
        <v>130000</v>
      </c>
      <c r="D39" s="35">
        <f>E39+F39+G39+H39+I39</f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>
        <v>130000</v>
      </c>
      <c r="X39" s="190"/>
      <c r="Y39" s="190"/>
      <c r="Z39" s="335"/>
      <c r="AA39" s="190"/>
      <c r="AB39" s="35"/>
      <c r="AC39" s="35"/>
      <c r="AD39" s="35"/>
      <c r="AE39" s="35"/>
      <c r="AF39" s="35"/>
      <c r="AG39" s="35"/>
      <c r="AH39" s="35"/>
      <c r="AI39" s="35"/>
      <c r="AJ39" s="35"/>
      <c r="AK39" s="23"/>
      <c r="AL39" s="35"/>
      <c r="AM39" s="35"/>
      <c r="AN39" s="35"/>
      <c r="AO39" s="35"/>
    </row>
    <row r="40" spans="1:43" x14ac:dyDescent="0.3">
      <c r="A40" s="468" t="s">
        <v>35</v>
      </c>
      <c r="B40" s="469"/>
      <c r="C40" s="201">
        <f>SUM(C36:C39)</f>
        <v>868673.96</v>
      </c>
      <c r="D40" s="201">
        <f t="shared" ref="D40:V40" si="10">SUM(D33:D39)</f>
        <v>0</v>
      </c>
      <c r="E40" s="201">
        <f t="shared" si="10"/>
        <v>0</v>
      </c>
      <c r="F40" s="201">
        <f t="shared" si="10"/>
        <v>0</v>
      </c>
      <c r="G40" s="201">
        <f t="shared" si="10"/>
        <v>0</v>
      </c>
      <c r="H40" s="201">
        <f t="shared" si="10"/>
        <v>0</v>
      </c>
      <c r="I40" s="201">
        <f t="shared" si="10"/>
        <v>0</v>
      </c>
      <c r="J40" s="201">
        <f t="shared" si="10"/>
        <v>0</v>
      </c>
      <c r="K40" s="201">
        <f t="shared" si="10"/>
        <v>0</v>
      </c>
      <c r="L40" s="201">
        <f t="shared" si="10"/>
        <v>0</v>
      </c>
      <c r="M40" s="201">
        <f t="shared" si="10"/>
        <v>0</v>
      </c>
      <c r="N40" s="201">
        <f t="shared" si="10"/>
        <v>0</v>
      </c>
      <c r="O40" s="201">
        <f t="shared" si="10"/>
        <v>0</v>
      </c>
      <c r="P40" s="201">
        <f t="shared" si="10"/>
        <v>0</v>
      </c>
      <c r="Q40" s="201">
        <f t="shared" si="10"/>
        <v>0</v>
      </c>
      <c r="R40" s="201">
        <f t="shared" si="10"/>
        <v>0</v>
      </c>
      <c r="S40" s="201">
        <f t="shared" si="10"/>
        <v>0</v>
      </c>
      <c r="T40" s="201">
        <f t="shared" si="10"/>
        <v>0</v>
      </c>
      <c r="U40" s="201">
        <f t="shared" si="10"/>
        <v>0</v>
      </c>
      <c r="V40" s="201">
        <f t="shared" si="10"/>
        <v>0</v>
      </c>
      <c r="W40" s="201">
        <f>SUM(W36:W39)</f>
        <v>868673.96</v>
      </c>
      <c r="X40" s="152">
        <f>C40-E40-F40-G40-H40-I40-N40-P40-R40-S40-U40-V40-W40</f>
        <v>0</v>
      </c>
      <c r="Y40" s="152">
        <f t="shared" ref="Y40:Y49" si="11">C40-D40-N40-P40-R40-S40-U40-V40-W40</f>
        <v>0</v>
      </c>
      <c r="Z40" s="249"/>
      <c r="AA40" s="249"/>
      <c r="AB40" s="249"/>
      <c r="AC40" s="336">
        <f>SUM(AC33:AC34)</f>
        <v>0</v>
      </c>
      <c r="AD40" s="152"/>
      <c r="AE40" s="152"/>
      <c r="AF40" s="152"/>
      <c r="AG40" s="152"/>
      <c r="AH40" s="152"/>
      <c r="AI40" s="152"/>
      <c r="AJ40" s="19"/>
      <c r="AK40" s="149"/>
      <c r="AL40" s="146"/>
      <c r="AM40" s="146"/>
    </row>
    <row r="41" spans="1:43" x14ac:dyDescent="0.3">
      <c r="A41" s="356" t="s">
        <v>220</v>
      </c>
      <c r="B41" s="356"/>
      <c r="C41" s="35"/>
      <c r="D41" s="35"/>
      <c r="E41" s="35"/>
      <c r="F41" s="35"/>
      <c r="G41" s="35"/>
      <c r="H41" s="35"/>
      <c r="I41" s="35"/>
      <c r="J41" s="2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152">
        <f t="shared" ref="X41:X48" si="12">C41-E41-F41-G41-H41-I41-N41-P41-R41-S41-U41-V41-W41</f>
        <v>0</v>
      </c>
      <c r="Y41" s="152">
        <f t="shared" si="11"/>
        <v>0</v>
      </c>
      <c r="Z41" s="190"/>
      <c r="AA41" s="190"/>
      <c r="AB41" s="190"/>
      <c r="AC41" s="190"/>
      <c r="AD41" s="35"/>
      <c r="AE41" s="35"/>
      <c r="AF41" s="35"/>
      <c r="AG41" s="35"/>
      <c r="AH41" s="35"/>
      <c r="AI41" s="35"/>
      <c r="AJ41" s="35"/>
      <c r="AK41" s="35"/>
      <c r="AL41" s="35"/>
      <c r="AM41" s="23"/>
      <c r="AN41" s="35"/>
      <c r="AO41" s="35"/>
      <c r="AP41" s="35"/>
      <c r="AQ41" s="35"/>
    </row>
    <row r="42" spans="1:43" x14ac:dyDescent="0.3">
      <c r="A42" s="331">
        <f>A39+1</f>
        <v>15</v>
      </c>
      <c r="B42" s="30" t="s">
        <v>221</v>
      </c>
      <c r="C42" s="35">
        <f t="shared" ref="C42:C48" si="13">D42+K42+L42+N42+P42+R42+S42+U42+V42+W42</f>
        <v>1985182.3699999999</v>
      </c>
      <c r="D42" s="35"/>
      <c r="E42" s="35"/>
      <c r="F42" s="35"/>
      <c r="G42" s="35"/>
      <c r="H42" s="35"/>
      <c r="I42" s="35"/>
      <c r="J42" s="2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>
        <f t="shared" ref="W42:W48" si="14">SUM(AD42:AQ42)</f>
        <v>1985182.3699999999</v>
      </c>
      <c r="X42" s="152">
        <f t="shared" si="12"/>
        <v>0</v>
      </c>
      <c r="Y42" s="152">
        <f t="shared" si="11"/>
        <v>0</v>
      </c>
      <c r="Z42" s="190"/>
      <c r="AA42" s="190"/>
      <c r="AB42" s="190"/>
      <c r="AC42" s="190"/>
      <c r="AD42" s="35"/>
      <c r="AE42" s="35"/>
      <c r="AF42" s="35"/>
      <c r="AG42" s="35"/>
      <c r="AH42" s="35"/>
      <c r="AI42" s="35"/>
      <c r="AJ42" s="35"/>
      <c r="AK42" s="35"/>
      <c r="AL42" s="35">
        <v>383073.24</v>
      </c>
      <c r="AM42" s="23">
        <v>379168.18</v>
      </c>
      <c r="AN42" s="35">
        <v>1222940.95</v>
      </c>
      <c r="AO42" s="35"/>
      <c r="AP42" s="35"/>
      <c r="AQ42" s="35"/>
    </row>
    <row r="43" spans="1:43" x14ac:dyDescent="0.3">
      <c r="A43" s="331">
        <f>A42+1</f>
        <v>16</v>
      </c>
      <c r="B43" s="30" t="s">
        <v>222</v>
      </c>
      <c r="C43" s="35">
        <f t="shared" si="13"/>
        <v>1762533.62</v>
      </c>
      <c r="D43" s="35"/>
      <c r="E43" s="35"/>
      <c r="F43" s="35"/>
      <c r="G43" s="35"/>
      <c r="H43" s="35"/>
      <c r="I43" s="35"/>
      <c r="J43" s="2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>
        <f t="shared" si="14"/>
        <v>1762533.62</v>
      </c>
      <c r="X43" s="152">
        <f t="shared" si="12"/>
        <v>0</v>
      </c>
      <c r="Y43" s="152">
        <f t="shared" si="11"/>
        <v>0</v>
      </c>
      <c r="Z43" s="190"/>
      <c r="AA43" s="190"/>
      <c r="AB43" s="190"/>
      <c r="AC43" s="190"/>
      <c r="AD43" s="35"/>
      <c r="AE43" s="35"/>
      <c r="AF43" s="35"/>
      <c r="AG43" s="35"/>
      <c r="AH43" s="35"/>
      <c r="AI43" s="35"/>
      <c r="AJ43" s="35"/>
      <c r="AK43" s="35"/>
      <c r="AL43" s="35">
        <v>376045.94</v>
      </c>
      <c r="AM43" s="23">
        <v>183240.88</v>
      </c>
      <c r="AN43" s="35">
        <v>1203246.8</v>
      </c>
      <c r="AO43" s="35"/>
      <c r="AP43" s="35"/>
      <c r="AQ43" s="35"/>
    </row>
    <row r="44" spans="1:43" x14ac:dyDescent="0.3">
      <c r="A44" s="331">
        <f>A43+1</f>
        <v>17</v>
      </c>
      <c r="B44" s="30" t="s">
        <v>223</v>
      </c>
      <c r="C44" s="35">
        <f t="shared" si="13"/>
        <v>1576538.24</v>
      </c>
      <c r="D44" s="35"/>
      <c r="E44" s="35"/>
      <c r="F44" s="35"/>
      <c r="G44" s="35"/>
      <c r="H44" s="35"/>
      <c r="I44" s="35"/>
      <c r="J44" s="2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>
        <f t="shared" si="14"/>
        <v>1576538.24</v>
      </c>
      <c r="X44" s="152">
        <f t="shared" si="12"/>
        <v>0</v>
      </c>
      <c r="Y44" s="152">
        <f t="shared" si="11"/>
        <v>0</v>
      </c>
      <c r="Z44" s="190"/>
      <c r="AA44" s="190"/>
      <c r="AB44" s="190"/>
      <c r="AC44" s="190"/>
      <c r="AD44" s="35"/>
      <c r="AE44" s="35"/>
      <c r="AF44" s="35"/>
      <c r="AG44" s="35"/>
      <c r="AH44" s="35"/>
      <c r="AI44" s="35"/>
      <c r="AJ44" s="35"/>
      <c r="AK44" s="35"/>
      <c r="AL44" s="35"/>
      <c r="AM44" s="23">
        <v>344343.42</v>
      </c>
      <c r="AN44" s="35">
        <v>1232194.82</v>
      </c>
      <c r="AO44" s="35"/>
      <c r="AP44" s="35"/>
      <c r="AQ44" s="35"/>
    </row>
    <row r="45" spans="1:43" x14ac:dyDescent="0.3">
      <c r="A45" s="28">
        <f>'2022'!A44+1</f>
        <v>18</v>
      </c>
      <c r="B45" s="30" t="s">
        <v>224</v>
      </c>
      <c r="C45" s="35">
        <f t="shared" si="13"/>
        <v>707715.12</v>
      </c>
      <c r="D45" s="35"/>
      <c r="E45" s="35"/>
      <c r="F45" s="35"/>
      <c r="G45" s="35"/>
      <c r="H45" s="35"/>
      <c r="I45" s="35"/>
      <c r="J45" s="26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f t="shared" si="14"/>
        <v>707715.12</v>
      </c>
      <c r="X45" s="152">
        <f t="shared" si="12"/>
        <v>0</v>
      </c>
      <c r="Y45" s="152">
        <f t="shared" si="11"/>
        <v>0</v>
      </c>
      <c r="Z45" s="190"/>
      <c r="AA45" s="190"/>
      <c r="AB45" s="190"/>
      <c r="AC45" s="190"/>
      <c r="AD45" s="35"/>
      <c r="AE45" s="35"/>
      <c r="AF45" s="35">
        <v>100953.78</v>
      </c>
      <c r="AG45" s="35"/>
      <c r="AH45" s="35"/>
      <c r="AI45" s="35">
        <v>122423.2</v>
      </c>
      <c r="AJ45" s="35"/>
      <c r="AK45" s="35"/>
      <c r="AL45" s="35"/>
      <c r="AM45" s="23"/>
      <c r="AN45" s="35">
        <v>484338.14</v>
      </c>
      <c r="AO45" s="35"/>
      <c r="AP45" s="35"/>
      <c r="AQ45" s="35"/>
    </row>
    <row r="46" spans="1:43" x14ac:dyDescent="0.3">
      <c r="A46" s="28">
        <f>'2022'!A45+1</f>
        <v>19</v>
      </c>
      <c r="B46" s="30" t="s">
        <v>225</v>
      </c>
      <c r="C46" s="35">
        <f t="shared" si="13"/>
        <v>1293884.29</v>
      </c>
      <c r="D46" s="35"/>
      <c r="E46" s="35"/>
      <c r="F46" s="35"/>
      <c r="G46" s="35"/>
      <c r="H46" s="35"/>
      <c r="I46" s="35"/>
      <c r="J46" s="26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>
        <f t="shared" si="14"/>
        <v>1293884.29</v>
      </c>
      <c r="X46" s="152">
        <f t="shared" si="12"/>
        <v>0</v>
      </c>
      <c r="Y46" s="152">
        <f t="shared" si="11"/>
        <v>0</v>
      </c>
      <c r="Z46" s="190"/>
      <c r="AA46" s="190"/>
      <c r="AB46" s="190"/>
      <c r="AC46" s="190"/>
      <c r="AD46" s="35"/>
      <c r="AE46" s="35"/>
      <c r="AF46" s="35"/>
      <c r="AG46" s="35"/>
      <c r="AH46" s="35"/>
      <c r="AI46" s="35"/>
      <c r="AJ46" s="35"/>
      <c r="AK46" s="35"/>
      <c r="AL46" s="35"/>
      <c r="AM46" s="23">
        <v>219527.34</v>
      </c>
      <c r="AN46" s="35">
        <v>1074356.95</v>
      </c>
      <c r="AO46" s="35"/>
      <c r="AP46" s="35"/>
      <c r="AQ46" s="35"/>
    </row>
    <row r="47" spans="1:43" x14ac:dyDescent="0.3">
      <c r="A47" s="28">
        <f>'2022'!A46+1</f>
        <v>20</v>
      </c>
      <c r="B47" s="30" t="s">
        <v>226</v>
      </c>
      <c r="C47" s="35">
        <f t="shared" si="13"/>
        <v>1801586.32</v>
      </c>
      <c r="D47" s="35"/>
      <c r="E47" s="35"/>
      <c r="F47" s="35"/>
      <c r="G47" s="35"/>
      <c r="H47" s="35"/>
      <c r="I47" s="35"/>
      <c r="J47" s="26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>
        <f t="shared" si="14"/>
        <v>1801586.32</v>
      </c>
      <c r="X47" s="152">
        <f t="shared" si="12"/>
        <v>0</v>
      </c>
      <c r="Y47" s="152">
        <f t="shared" si="11"/>
        <v>0</v>
      </c>
      <c r="Z47" s="190"/>
      <c r="AA47" s="190"/>
      <c r="AB47" s="190"/>
      <c r="AC47" s="190"/>
      <c r="AD47" s="35"/>
      <c r="AE47" s="35"/>
      <c r="AF47" s="35">
        <v>180664.2</v>
      </c>
      <c r="AG47" s="35"/>
      <c r="AH47" s="35"/>
      <c r="AI47" s="35"/>
      <c r="AJ47" s="35"/>
      <c r="AK47" s="35"/>
      <c r="AL47" s="35">
        <v>329377.77</v>
      </c>
      <c r="AM47" s="23">
        <v>219085.63</v>
      </c>
      <c r="AN47" s="35">
        <v>1072458.72</v>
      </c>
      <c r="AO47" s="35"/>
      <c r="AP47" s="35"/>
      <c r="AQ47" s="35"/>
    </row>
    <row r="48" spans="1:43" x14ac:dyDescent="0.3">
      <c r="A48" s="113">
        <f>'2022'!A47+1</f>
        <v>21</v>
      </c>
      <c r="B48" s="90" t="s">
        <v>227</v>
      </c>
      <c r="C48" s="114">
        <f t="shared" si="13"/>
        <v>928863.99</v>
      </c>
      <c r="D48" s="114"/>
      <c r="E48" s="114"/>
      <c r="F48" s="114"/>
      <c r="G48" s="114"/>
      <c r="H48" s="114"/>
      <c r="I48" s="114"/>
      <c r="J48" s="337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>
        <f t="shared" si="14"/>
        <v>928863.99</v>
      </c>
      <c r="X48" s="152">
        <f t="shared" si="12"/>
        <v>0</v>
      </c>
      <c r="Y48" s="152">
        <f t="shared" si="11"/>
        <v>0</v>
      </c>
      <c r="Z48" s="190"/>
      <c r="AA48" s="190"/>
      <c r="AB48" s="190"/>
      <c r="AC48" s="190"/>
      <c r="AD48" s="35"/>
      <c r="AE48" s="35"/>
      <c r="AF48" s="35"/>
      <c r="AG48" s="35"/>
      <c r="AH48" s="35"/>
      <c r="AI48" s="35"/>
      <c r="AJ48" s="35"/>
      <c r="AK48" s="35"/>
      <c r="AL48" s="35">
        <v>230818.44</v>
      </c>
      <c r="AM48" s="23">
        <v>267489.37</v>
      </c>
      <c r="AN48" s="35">
        <v>430556.18</v>
      </c>
      <c r="AO48" s="35"/>
      <c r="AP48" s="35"/>
      <c r="AQ48" s="35"/>
    </row>
    <row r="49" spans="1:39" x14ac:dyDescent="0.3">
      <c r="A49" s="470" t="s">
        <v>35</v>
      </c>
      <c r="B49" s="471"/>
      <c r="C49" s="114">
        <f>SUM(C42:C48)</f>
        <v>10056303.950000001</v>
      </c>
      <c r="D49" s="114">
        <f t="shared" ref="D49:W49" si="15">SUM(D42:D48)</f>
        <v>0</v>
      </c>
      <c r="E49" s="114">
        <f t="shared" si="15"/>
        <v>0</v>
      </c>
      <c r="F49" s="114">
        <f t="shared" si="15"/>
        <v>0</v>
      </c>
      <c r="G49" s="114">
        <f t="shared" si="15"/>
        <v>0</v>
      </c>
      <c r="H49" s="114">
        <f t="shared" si="15"/>
        <v>0</v>
      </c>
      <c r="I49" s="114">
        <f t="shared" si="15"/>
        <v>0</v>
      </c>
      <c r="J49" s="114">
        <f t="shared" si="15"/>
        <v>0</v>
      </c>
      <c r="K49" s="114">
        <f t="shared" si="15"/>
        <v>0</v>
      </c>
      <c r="L49" s="114">
        <f t="shared" si="15"/>
        <v>0</v>
      </c>
      <c r="M49" s="114">
        <f t="shared" si="15"/>
        <v>0</v>
      </c>
      <c r="N49" s="114">
        <f t="shared" si="15"/>
        <v>0</v>
      </c>
      <c r="O49" s="114">
        <f t="shared" si="15"/>
        <v>0</v>
      </c>
      <c r="P49" s="114">
        <f t="shared" si="15"/>
        <v>0</v>
      </c>
      <c r="Q49" s="114">
        <f t="shared" si="15"/>
        <v>0</v>
      </c>
      <c r="R49" s="114">
        <f t="shared" si="15"/>
        <v>0</v>
      </c>
      <c r="S49" s="114">
        <f t="shared" si="15"/>
        <v>0</v>
      </c>
      <c r="T49" s="114">
        <f t="shared" si="15"/>
        <v>0</v>
      </c>
      <c r="U49" s="114">
        <f t="shared" si="15"/>
        <v>0</v>
      </c>
      <c r="V49" s="114">
        <f t="shared" si="15"/>
        <v>0</v>
      </c>
      <c r="W49" s="114">
        <f t="shared" si="15"/>
        <v>10056303.950000001</v>
      </c>
      <c r="X49" s="152">
        <f>C49-E49-F49-G49-H49-I49-N49-P49-R49-S49-U49-V49-W49</f>
        <v>0</v>
      </c>
      <c r="Y49" s="152">
        <f t="shared" si="11"/>
        <v>0</v>
      </c>
      <c r="Z49" s="249"/>
      <c r="AA49" s="249"/>
      <c r="AB49" s="249"/>
      <c r="AC49" s="336">
        <f>SUM(AC42:AC43)</f>
        <v>0</v>
      </c>
      <c r="AD49" s="152"/>
      <c r="AE49" s="152"/>
      <c r="AF49" s="152"/>
      <c r="AG49" s="152"/>
      <c r="AH49" s="152"/>
      <c r="AI49" s="152"/>
      <c r="AJ49" s="19"/>
      <c r="AK49" s="149"/>
      <c r="AL49" s="146"/>
      <c r="AM49" s="146"/>
    </row>
    <row r="50" spans="1:39" x14ac:dyDescent="0.3">
      <c r="A50" s="457" t="s">
        <v>214</v>
      </c>
      <c r="B50" s="458"/>
      <c r="C50" s="104">
        <f>C40+C34+C49</f>
        <v>12559080.680000002</v>
      </c>
      <c r="D50" s="104">
        <f t="shared" ref="D50:W50" si="16">D40+D34+D49</f>
        <v>0</v>
      </c>
      <c r="E50" s="104">
        <f t="shared" si="16"/>
        <v>0</v>
      </c>
      <c r="F50" s="104">
        <f t="shared" si="16"/>
        <v>0</v>
      </c>
      <c r="G50" s="104">
        <f t="shared" si="16"/>
        <v>0</v>
      </c>
      <c r="H50" s="104">
        <f t="shared" si="16"/>
        <v>0</v>
      </c>
      <c r="I50" s="104">
        <f t="shared" si="16"/>
        <v>0</v>
      </c>
      <c r="J50" s="104">
        <f t="shared" si="16"/>
        <v>0</v>
      </c>
      <c r="K50" s="104">
        <f t="shared" si="16"/>
        <v>0</v>
      </c>
      <c r="L50" s="104">
        <f t="shared" si="16"/>
        <v>0</v>
      </c>
      <c r="M50" s="104">
        <f t="shared" si="16"/>
        <v>0</v>
      </c>
      <c r="N50" s="104">
        <f t="shared" si="16"/>
        <v>0</v>
      </c>
      <c r="O50" s="104">
        <f t="shared" si="16"/>
        <v>0</v>
      </c>
      <c r="P50" s="104">
        <f t="shared" si="16"/>
        <v>0</v>
      </c>
      <c r="Q50" s="104">
        <f t="shared" si="16"/>
        <v>0</v>
      </c>
      <c r="R50" s="104">
        <f t="shared" si="16"/>
        <v>0</v>
      </c>
      <c r="S50" s="104">
        <f t="shared" si="16"/>
        <v>0</v>
      </c>
      <c r="T50" s="104">
        <f t="shared" si="16"/>
        <v>0</v>
      </c>
      <c r="U50" s="104">
        <f t="shared" si="16"/>
        <v>0</v>
      </c>
      <c r="V50" s="104">
        <f t="shared" si="16"/>
        <v>0</v>
      </c>
      <c r="W50" s="104">
        <f t="shared" si="16"/>
        <v>12559080.680000002</v>
      </c>
      <c r="X50" s="152">
        <f>C50-E50-F50-G50-H50-I50-N50-P50-R50-S50-U50-V50-W50</f>
        <v>0</v>
      </c>
      <c r="Y50" s="152">
        <f>C50-D50-N50-P50-R50-S50-U50-V50-W50</f>
        <v>0</v>
      </c>
      <c r="Z50" s="152"/>
      <c r="AA50" s="152"/>
      <c r="AB50" s="152"/>
      <c r="AC50" s="204" t="e">
        <f>AC34+#REF!+#REF!+#REF!+#REF!+#REF!+#REF!+#REF!+#REF!+#REF!</f>
        <v>#REF!</v>
      </c>
      <c r="AD50" s="152"/>
      <c r="AE50" s="152"/>
      <c r="AF50" s="152"/>
      <c r="AG50" s="152"/>
      <c r="AH50" s="152"/>
      <c r="AI50" s="152"/>
      <c r="AJ50" s="19"/>
      <c r="AK50" s="149"/>
      <c r="AL50" s="146"/>
      <c r="AM50" s="146"/>
    </row>
    <row r="51" spans="1:39" x14ac:dyDescent="0.3">
      <c r="A51" s="459" t="s">
        <v>172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9"/>
      <c r="X51" s="152"/>
      <c r="Y51" s="152"/>
      <c r="Z51" s="152"/>
      <c r="AA51" s="152"/>
      <c r="AB51" s="152"/>
      <c r="AC51" s="204"/>
      <c r="AD51" s="152"/>
      <c r="AE51" s="152"/>
      <c r="AF51" s="152"/>
      <c r="AG51" s="152"/>
      <c r="AH51" s="152"/>
      <c r="AI51" s="152"/>
      <c r="AJ51" s="19"/>
      <c r="AK51" s="149"/>
      <c r="AL51" s="146"/>
      <c r="AM51" s="146"/>
    </row>
    <row r="52" spans="1:39" ht="36.6" customHeight="1" x14ac:dyDescent="0.3">
      <c r="A52" s="460" t="s">
        <v>173</v>
      </c>
      <c r="B52" s="461"/>
      <c r="C52" s="338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52"/>
      <c r="Y52" s="152"/>
      <c r="Z52" s="152"/>
      <c r="AA52" s="152"/>
      <c r="AB52" s="152"/>
      <c r="AC52" s="204"/>
      <c r="AD52" s="152"/>
      <c r="AE52" s="152"/>
      <c r="AF52" s="152"/>
      <c r="AG52" s="152"/>
      <c r="AH52" s="152"/>
      <c r="AI52" s="152"/>
      <c r="AJ52" s="19"/>
      <c r="AK52" s="149"/>
      <c r="AL52" s="146"/>
      <c r="AM52" s="146"/>
    </row>
    <row r="53" spans="1:39" ht="21.6" customHeight="1" x14ac:dyDescent="0.3">
      <c r="A53" s="339">
        <f>A48+1</f>
        <v>22</v>
      </c>
      <c r="B53" s="90" t="s">
        <v>282</v>
      </c>
      <c r="C53" s="114">
        <f>D53+K53+L53+N53+P53+R53+S53+U53+V53+W53</f>
        <v>879498.7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14">
        <f>SUM(AD53:AQ53)</f>
        <v>879498.7</v>
      </c>
      <c r="X53" s="152"/>
      <c r="Y53" s="152"/>
      <c r="Z53" s="152"/>
      <c r="AA53" s="152"/>
      <c r="AB53" s="152"/>
      <c r="AC53" s="204"/>
      <c r="AD53" s="152"/>
      <c r="AE53" s="152"/>
      <c r="AF53" s="152"/>
      <c r="AG53" s="152"/>
      <c r="AH53" s="152"/>
      <c r="AI53" s="149">
        <v>163007.99</v>
      </c>
      <c r="AJ53" s="146">
        <v>716490.71</v>
      </c>
      <c r="AK53" s="149"/>
      <c r="AL53" s="146"/>
      <c r="AM53" s="146"/>
    </row>
    <row r="54" spans="1:39" x14ac:dyDescent="0.3">
      <c r="A54" s="467" t="s">
        <v>35</v>
      </c>
      <c r="B54" s="467"/>
      <c r="C54" s="114">
        <f>C53</f>
        <v>879498.7</v>
      </c>
      <c r="D54" s="114">
        <f t="shared" ref="D54:W54" si="17">D53</f>
        <v>0</v>
      </c>
      <c r="E54" s="114">
        <f t="shared" si="17"/>
        <v>0</v>
      </c>
      <c r="F54" s="114">
        <f t="shared" si="17"/>
        <v>0</v>
      </c>
      <c r="G54" s="114">
        <f t="shared" si="17"/>
        <v>0</v>
      </c>
      <c r="H54" s="114">
        <f t="shared" si="17"/>
        <v>0</v>
      </c>
      <c r="I54" s="114">
        <f t="shared" si="17"/>
        <v>0</v>
      </c>
      <c r="J54" s="114">
        <f t="shared" si="17"/>
        <v>0</v>
      </c>
      <c r="K54" s="114">
        <f t="shared" si="17"/>
        <v>0</v>
      </c>
      <c r="L54" s="114">
        <f t="shared" si="17"/>
        <v>0</v>
      </c>
      <c r="M54" s="114">
        <f t="shared" si="17"/>
        <v>0</v>
      </c>
      <c r="N54" s="114">
        <f t="shared" si="17"/>
        <v>0</v>
      </c>
      <c r="O54" s="114">
        <f t="shared" si="17"/>
        <v>0</v>
      </c>
      <c r="P54" s="114">
        <f t="shared" si="17"/>
        <v>0</v>
      </c>
      <c r="Q54" s="114">
        <f t="shared" si="17"/>
        <v>0</v>
      </c>
      <c r="R54" s="114">
        <f t="shared" si="17"/>
        <v>0</v>
      </c>
      <c r="S54" s="114">
        <f t="shared" si="17"/>
        <v>0</v>
      </c>
      <c r="T54" s="114">
        <f t="shared" si="17"/>
        <v>0</v>
      </c>
      <c r="U54" s="114">
        <f t="shared" si="17"/>
        <v>0</v>
      </c>
      <c r="V54" s="114">
        <f t="shared" si="17"/>
        <v>0</v>
      </c>
      <c r="W54" s="114">
        <f t="shared" si="17"/>
        <v>879498.7</v>
      </c>
      <c r="X54" s="152"/>
      <c r="Y54" s="152"/>
      <c r="Z54" s="152"/>
      <c r="AA54" s="152"/>
      <c r="AB54" s="152"/>
      <c r="AC54" s="204"/>
      <c r="AD54" s="152"/>
      <c r="AE54" s="152"/>
      <c r="AF54" s="152"/>
      <c r="AG54" s="152"/>
      <c r="AH54" s="152"/>
      <c r="AI54" s="152"/>
      <c r="AJ54" s="19"/>
      <c r="AK54" s="149"/>
      <c r="AL54" s="146"/>
      <c r="AM54" s="146"/>
    </row>
    <row r="55" spans="1:39" x14ac:dyDescent="0.3">
      <c r="A55" s="457" t="s">
        <v>283</v>
      </c>
      <c r="B55" s="458"/>
      <c r="C55" s="104">
        <f>C54</f>
        <v>879498.7</v>
      </c>
      <c r="D55" s="104">
        <f t="shared" ref="D55:W55" si="18">D54</f>
        <v>0</v>
      </c>
      <c r="E55" s="104">
        <f t="shared" si="18"/>
        <v>0</v>
      </c>
      <c r="F55" s="104">
        <f t="shared" si="18"/>
        <v>0</v>
      </c>
      <c r="G55" s="104">
        <f t="shared" si="18"/>
        <v>0</v>
      </c>
      <c r="H55" s="104">
        <f t="shared" si="18"/>
        <v>0</v>
      </c>
      <c r="I55" s="104">
        <f t="shared" si="18"/>
        <v>0</v>
      </c>
      <c r="J55" s="104">
        <f t="shared" si="18"/>
        <v>0</v>
      </c>
      <c r="K55" s="104">
        <f t="shared" si="18"/>
        <v>0</v>
      </c>
      <c r="L55" s="104">
        <f t="shared" si="18"/>
        <v>0</v>
      </c>
      <c r="M55" s="104">
        <f t="shared" si="18"/>
        <v>0</v>
      </c>
      <c r="N55" s="104">
        <f t="shared" si="18"/>
        <v>0</v>
      </c>
      <c r="O55" s="104">
        <f t="shared" si="18"/>
        <v>0</v>
      </c>
      <c r="P55" s="104">
        <f t="shared" si="18"/>
        <v>0</v>
      </c>
      <c r="Q55" s="104">
        <f t="shared" si="18"/>
        <v>0</v>
      </c>
      <c r="R55" s="104">
        <f t="shared" si="18"/>
        <v>0</v>
      </c>
      <c r="S55" s="104">
        <f t="shared" si="18"/>
        <v>0</v>
      </c>
      <c r="T55" s="104">
        <f t="shared" si="18"/>
        <v>0</v>
      </c>
      <c r="U55" s="104">
        <f t="shared" si="18"/>
        <v>0</v>
      </c>
      <c r="V55" s="104">
        <f t="shared" si="18"/>
        <v>0</v>
      </c>
      <c r="W55" s="104">
        <f t="shared" si="18"/>
        <v>879498.7</v>
      </c>
      <c r="X55" s="152"/>
      <c r="Y55" s="152"/>
      <c r="Z55" s="152"/>
      <c r="AA55" s="152"/>
      <c r="AB55" s="152"/>
      <c r="AC55" s="204"/>
      <c r="AD55" s="152"/>
      <c r="AE55" s="152"/>
      <c r="AF55" s="152"/>
      <c r="AG55" s="152"/>
      <c r="AH55" s="152"/>
      <c r="AI55" s="152"/>
      <c r="AJ55" s="19"/>
      <c r="AK55" s="149"/>
      <c r="AL55" s="146"/>
      <c r="AM55" s="146"/>
    </row>
    <row r="56" spans="1:39" x14ac:dyDescent="0.3">
      <c r="A56" s="457" t="s">
        <v>87</v>
      </c>
      <c r="B56" s="458"/>
      <c r="C56" s="104">
        <f>C25+C30+C14+C50+C55</f>
        <v>21950547.739999998</v>
      </c>
      <c r="D56" s="104">
        <f t="shared" ref="D56:W56" si="19">D25+D30+D14+D50+D55</f>
        <v>0</v>
      </c>
      <c r="E56" s="104">
        <f t="shared" si="19"/>
        <v>0</v>
      </c>
      <c r="F56" s="104">
        <f t="shared" si="19"/>
        <v>0</v>
      </c>
      <c r="G56" s="104">
        <f t="shared" si="19"/>
        <v>0</v>
      </c>
      <c r="H56" s="104">
        <f t="shared" si="19"/>
        <v>0</v>
      </c>
      <c r="I56" s="104">
        <f t="shared" si="19"/>
        <v>0</v>
      </c>
      <c r="J56" s="104">
        <f t="shared" si="19"/>
        <v>0</v>
      </c>
      <c r="K56" s="104">
        <f t="shared" si="19"/>
        <v>0</v>
      </c>
      <c r="L56" s="104">
        <f t="shared" si="19"/>
        <v>0</v>
      </c>
      <c r="M56" s="104">
        <f t="shared" si="19"/>
        <v>0</v>
      </c>
      <c r="N56" s="104">
        <f t="shared" si="19"/>
        <v>0</v>
      </c>
      <c r="O56" s="104">
        <f t="shared" si="19"/>
        <v>0</v>
      </c>
      <c r="P56" s="104">
        <f t="shared" si="19"/>
        <v>0</v>
      </c>
      <c r="Q56" s="104">
        <f t="shared" si="19"/>
        <v>0</v>
      </c>
      <c r="R56" s="104">
        <f t="shared" si="19"/>
        <v>0</v>
      </c>
      <c r="S56" s="104">
        <f t="shared" si="19"/>
        <v>0</v>
      </c>
      <c r="T56" s="104">
        <f t="shared" si="19"/>
        <v>0</v>
      </c>
      <c r="U56" s="104">
        <f t="shared" si="19"/>
        <v>0</v>
      </c>
      <c r="V56" s="104">
        <f t="shared" si="19"/>
        <v>0</v>
      </c>
      <c r="W56" s="104">
        <f t="shared" si="19"/>
        <v>21950547.739999998</v>
      </c>
      <c r="X56" s="152">
        <f>C56-E56-F56-G56-H56-I56-N56-P56-R56-S56-U56-V56-W56</f>
        <v>0</v>
      </c>
      <c r="Y56" s="152">
        <f>C56-D56-N56-P56-R56-S56-U56-V56-W56</f>
        <v>0</v>
      </c>
      <c r="Z56" s="152"/>
      <c r="AA56" s="152"/>
      <c r="AB56" s="152"/>
      <c r="AC56" s="340" t="e">
        <f>#REF!+#REF!+#REF!+#REF!+#REF!+#REF!+#REF!+#REF!+#REF!+AC25+#REF!+#REF!+#REF!+#REF!+#REF!+#REF!+#REF!+#REF!</f>
        <v>#REF!</v>
      </c>
      <c r="AD56" s="340" t="e">
        <f>#REF!+#REF!+#REF!+#REF!+#REF!+#REF!+#REF!+#REF!+#REF!+AD25+#REF!+#REF!+#REF!+#REF!+#REF!+#REF!+#REF!+#REF!</f>
        <v>#REF!</v>
      </c>
      <c r="AE56" s="340" t="e">
        <f>#REF!+#REF!+#REF!+#REF!+#REF!+#REF!+#REF!+#REF!+#REF!+AE25+#REF!+#REF!+#REF!+#REF!+#REF!+#REF!+#REF!+#REF!</f>
        <v>#REF!</v>
      </c>
      <c r="AF56" s="340" t="e">
        <f>#REF!+#REF!+#REF!+#REF!+#REF!+#REF!+#REF!+#REF!+#REF!+AF25+#REF!+#REF!+#REF!+#REF!+#REF!+#REF!+#REF!+#REF!</f>
        <v>#REF!</v>
      </c>
      <c r="AG56" s="340" t="e">
        <f>#REF!+#REF!+#REF!+#REF!+#REF!+#REF!+#REF!+#REF!+#REF!+AG25+#REF!+#REF!+#REF!+#REF!+#REF!+#REF!+#REF!+#REF!</f>
        <v>#REF!</v>
      </c>
    </row>
    <row r="57" spans="1:39" x14ac:dyDescent="0.3">
      <c r="A57" s="341"/>
      <c r="B57" s="342" t="s">
        <v>138</v>
      </c>
      <c r="C57" s="104">
        <f>(C56-W56)*0.0214</f>
        <v>0</v>
      </c>
      <c r="D57" s="114"/>
      <c r="E57" s="114"/>
      <c r="F57" s="114"/>
      <c r="G57" s="114"/>
      <c r="H57" s="114"/>
      <c r="I57" s="114"/>
      <c r="J57" s="337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52">
        <f>C57-E57-F57-G57-H57-I57-N57-P57-R57-S57-U57-V57-W57</f>
        <v>0</v>
      </c>
    </row>
    <row r="58" spans="1:39" ht="31.2" x14ac:dyDescent="0.3">
      <c r="A58" s="341"/>
      <c r="B58" s="343" t="s">
        <v>139</v>
      </c>
      <c r="C58" s="104">
        <f>C56+C57</f>
        <v>21950547.739999998</v>
      </c>
      <c r="D58" s="114"/>
      <c r="E58" s="114"/>
      <c r="F58" s="114"/>
      <c r="G58" s="114"/>
      <c r="H58" s="114"/>
      <c r="I58" s="114"/>
      <c r="J58" s="337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52"/>
    </row>
    <row r="59" spans="1:39" x14ac:dyDescent="0.3">
      <c r="A59" s="344" t="s">
        <v>297</v>
      </c>
      <c r="B59" s="345"/>
      <c r="C59" s="196"/>
      <c r="D59" s="152"/>
      <c r="E59" s="152"/>
      <c r="F59" s="152"/>
      <c r="G59" s="152"/>
      <c r="H59" s="152"/>
      <c r="I59" s="152"/>
      <c r="J59" s="346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39" x14ac:dyDescent="0.3">
      <c r="A60" s="344" t="s">
        <v>303</v>
      </c>
      <c r="B60" s="345"/>
      <c r="C60" s="196"/>
      <c r="D60" s="152"/>
      <c r="E60" s="152"/>
      <c r="F60" s="152"/>
      <c r="G60" s="152"/>
      <c r="H60" s="152"/>
      <c r="I60" s="152"/>
      <c r="J60" s="346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39" x14ac:dyDescent="0.3">
      <c r="A61" s="11" t="s">
        <v>298</v>
      </c>
      <c r="B61" s="12"/>
      <c r="C61" s="12"/>
      <c r="D61" s="13"/>
      <c r="E61" s="13"/>
      <c r="F61" s="12"/>
      <c r="G61" s="152"/>
      <c r="H61" s="152"/>
      <c r="I61" s="152"/>
      <c r="J61" s="346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39" x14ac:dyDescent="0.3">
      <c r="A62" s="11" t="s">
        <v>299</v>
      </c>
      <c r="B62" s="12"/>
      <c r="C62" s="11"/>
      <c r="D62" s="14"/>
      <c r="E62" s="14"/>
      <c r="F62" s="12"/>
      <c r="G62" s="152"/>
      <c r="H62" s="152"/>
      <c r="I62" s="152"/>
      <c r="J62" s="346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39" x14ac:dyDescent="0.3">
      <c r="A63" s="11" t="s">
        <v>300</v>
      </c>
      <c r="B63" s="12"/>
      <c r="C63" s="12"/>
      <c r="D63" s="13"/>
      <c r="E63" s="13"/>
      <c r="F63" s="12"/>
      <c r="G63" s="152"/>
      <c r="H63" s="152"/>
      <c r="I63" s="152"/>
      <c r="J63" s="346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39" x14ac:dyDescent="0.3">
      <c r="A64" s="344" t="s">
        <v>301</v>
      </c>
      <c r="B64" s="345"/>
      <c r="C64" s="196"/>
      <c r="D64" s="152"/>
      <c r="E64" s="152"/>
      <c r="F64" s="152"/>
      <c r="G64" s="152"/>
      <c r="H64" s="152"/>
      <c r="I64" s="152"/>
      <c r="J64" s="346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17.399999999999999" customHeight="1" x14ac:dyDescent="0.3">
      <c r="A65" s="344" t="s">
        <v>302</v>
      </c>
      <c r="B65" s="347"/>
      <c r="C65" s="347"/>
      <c r="D65" s="152"/>
      <c r="E65" s="152"/>
      <c r="F65" s="152"/>
      <c r="G65" s="152"/>
      <c r="H65" s="152"/>
      <c r="I65" s="152"/>
      <c r="J65" s="346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>
        <f>C58-E65-F65-G65-H65-I65-N65-P65-R65-S65-U65-V65-W65</f>
        <v>21950547.739999998</v>
      </c>
    </row>
  </sheetData>
  <autoFilter ref="A9:W65"/>
  <mergeCells count="49">
    <mergeCell ref="A32:B32"/>
    <mergeCell ref="A15:W15"/>
    <mergeCell ref="A16:B16"/>
    <mergeCell ref="F5:F7"/>
    <mergeCell ref="G5:G7"/>
    <mergeCell ref="H5:H7"/>
    <mergeCell ref="I5:I7"/>
    <mergeCell ref="J5:J7"/>
    <mergeCell ref="A13:B13"/>
    <mergeCell ref="A10:W10"/>
    <mergeCell ref="A14:B14"/>
    <mergeCell ref="E5:E7"/>
    <mergeCell ref="S4:S7"/>
    <mergeCell ref="K5:K7"/>
    <mergeCell ref="A1:W1"/>
    <mergeCell ref="A24:B24"/>
    <mergeCell ref="A25:B25"/>
    <mergeCell ref="A29:B29"/>
    <mergeCell ref="A26:W26"/>
    <mergeCell ref="L5:L7"/>
    <mergeCell ref="AI2:AK2"/>
    <mergeCell ref="D4:I4"/>
    <mergeCell ref="J4:L4"/>
    <mergeCell ref="M4:N7"/>
    <mergeCell ref="O4:P7"/>
    <mergeCell ref="Q4:R7"/>
    <mergeCell ref="T4:U7"/>
    <mergeCell ref="V4:V7"/>
    <mergeCell ref="W4:W7"/>
    <mergeCell ref="AI4:AI8"/>
    <mergeCell ref="AJ4:AJ8"/>
    <mergeCell ref="AK4:AK8"/>
    <mergeCell ref="D5:D7"/>
    <mergeCell ref="A55:B55"/>
    <mergeCell ref="A51:W51"/>
    <mergeCell ref="A52:B52"/>
    <mergeCell ref="A56:B56"/>
    <mergeCell ref="C3:C7"/>
    <mergeCell ref="B3:B7"/>
    <mergeCell ref="A3:A7"/>
    <mergeCell ref="D3:W3"/>
    <mergeCell ref="A54:B54"/>
    <mergeCell ref="A31:W31"/>
    <mergeCell ref="A34:B34"/>
    <mergeCell ref="A50:B50"/>
    <mergeCell ref="A40:B40"/>
    <mergeCell ref="A41:B41"/>
    <mergeCell ref="A49:B49"/>
    <mergeCell ref="A27:C27"/>
  </mergeCells>
  <conditionalFormatting sqref="A56">
    <cfRule type="duplicateValues" dxfId="4" priority="1538"/>
  </conditionalFormatting>
  <conditionalFormatting sqref="B12:B13">
    <cfRule type="duplicateValues" dxfId="3" priority="4"/>
  </conditionalFormatting>
  <conditionalFormatting sqref="B34">
    <cfRule type="duplicateValues" dxfId="2" priority="3"/>
  </conditionalFormatting>
  <conditionalFormatting sqref="D61:D63">
    <cfRule type="duplicateValues" dxfId="1" priority="2"/>
  </conditionalFormatting>
  <conditionalFormatting sqref="B29">
    <cfRule type="duplicateValues" dxfId="0" priority="1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111</v>
      </c>
      <c r="C3" s="1" t="s">
        <v>112</v>
      </c>
      <c r="D3" s="1">
        <v>2020</v>
      </c>
      <c r="E3" s="1">
        <v>2021</v>
      </c>
      <c r="F3" s="1">
        <v>2022</v>
      </c>
      <c r="G3" s="1" t="s">
        <v>137</v>
      </c>
    </row>
    <row r="4" spans="1:7" x14ac:dyDescent="0.3">
      <c r="A4" s="1" t="s">
        <v>113</v>
      </c>
      <c r="C4" s="4" t="e">
        <f>D4+E4+F4</f>
        <v>#REF!</v>
      </c>
      <c r="D4" s="4" t="e">
        <f>'2020'!#REF!</f>
        <v>#REF!</v>
      </c>
      <c r="E4" s="4" t="e">
        <f>'2021'!#REF!</f>
        <v>#REF!</v>
      </c>
      <c r="F4" s="4" t="e">
        <f>'2022'!#REF!</f>
        <v>#REF!</v>
      </c>
      <c r="G4" s="4" t="e">
        <f>C4-'Раздел 1'!#REF!</f>
        <v>#REF!</v>
      </c>
    </row>
    <row r="5" spans="1:7" x14ac:dyDescent="0.3">
      <c r="A5" s="1" t="s">
        <v>114</v>
      </c>
      <c r="C5" s="4" t="e">
        <f t="shared" ref="C5:C21" si="0">D5+E5+F5</f>
        <v>#REF!</v>
      </c>
      <c r="D5" s="4" t="e">
        <f>'2020'!#REF!</f>
        <v>#REF!</v>
      </c>
      <c r="E5" s="4" t="e">
        <f>'2021'!#REF!</f>
        <v>#REF!</v>
      </c>
      <c r="F5" s="4" t="e">
        <f>'2022'!#REF!</f>
        <v>#REF!</v>
      </c>
      <c r="G5" s="6" t="e">
        <f>C5-'Раздел 1'!#REF!</f>
        <v>#REF!</v>
      </c>
    </row>
    <row r="6" spans="1:7" x14ac:dyDescent="0.3">
      <c r="A6" s="1" t="s">
        <v>115</v>
      </c>
      <c r="C6" s="4" t="e">
        <f t="shared" si="0"/>
        <v>#REF!</v>
      </c>
      <c r="D6" s="4" t="e">
        <f>'2020'!#REF!</f>
        <v>#REF!</v>
      </c>
      <c r="E6" s="4">
        <f>'2021'!C17</f>
        <v>347045.27</v>
      </c>
      <c r="F6" s="4" t="e">
        <f>'2022'!#REF!</f>
        <v>#REF!</v>
      </c>
      <c r="G6" s="4" t="e">
        <f>C6-'Раздел 1'!I26</f>
        <v>#REF!</v>
      </c>
    </row>
    <row r="7" spans="1:7" x14ac:dyDescent="0.3">
      <c r="A7" s="1" t="s">
        <v>116</v>
      </c>
      <c r="C7" s="4" t="e">
        <f t="shared" si="0"/>
        <v>#REF!</v>
      </c>
      <c r="D7" s="4" t="e">
        <f>'2020'!#REF!</f>
        <v>#REF!</v>
      </c>
      <c r="E7" s="4" t="e">
        <f>'2021'!#REF!</f>
        <v>#REF!</v>
      </c>
      <c r="F7" s="4" t="e">
        <f>'2022'!#REF!</f>
        <v>#REF!</v>
      </c>
      <c r="G7" s="4" t="e">
        <f>C7-'Раздел 1'!#REF!</f>
        <v>#REF!</v>
      </c>
    </row>
    <row r="8" spans="1:7" x14ac:dyDescent="0.3">
      <c r="A8" s="1" t="s">
        <v>117</v>
      </c>
      <c r="C8" s="4" t="e">
        <f t="shared" si="0"/>
        <v>#REF!</v>
      </c>
      <c r="D8" s="4" t="e">
        <f>'2020'!#REF!</f>
        <v>#REF!</v>
      </c>
      <c r="E8" s="4" t="e">
        <f>'2021'!#REF!</f>
        <v>#REF!</v>
      </c>
      <c r="F8" s="4" t="e">
        <f>'2022'!#REF!</f>
        <v>#REF!</v>
      </c>
      <c r="G8" s="4" t="e">
        <f>C8-'Раздел 1'!I56</f>
        <v>#REF!</v>
      </c>
    </row>
    <row r="9" spans="1:7" x14ac:dyDescent="0.3">
      <c r="A9" s="1" t="s">
        <v>118</v>
      </c>
      <c r="C9" s="4" t="e">
        <f t="shared" si="0"/>
        <v>#REF!</v>
      </c>
      <c r="D9" s="4" t="e">
        <f>'2020'!#REF!</f>
        <v>#REF!</v>
      </c>
      <c r="E9" s="4">
        <f>'2021'!C64</f>
        <v>11992718.34</v>
      </c>
      <c r="F9" s="4" t="e">
        <f>'2022'!#REF!</f>
        <v>#REF!</v>
      </c>
      <c r="G9" s="4" t="e">
        <f>C9-'Раздел 1'!I76</f>
        <v>#REF!</v>
      </c>
    </row>
    <row r="10" spans="1:7" x14ac:dyDescent="0.3">
      <c r="A10" s="1" t="s">
        <v>119</v>
      </c>
      <c r="C10" s="4" t="e">
        <f t="shared" si="0"/>
        <v>#REF!</v>
      </c>
      <c r="D10" s="4" t="e">
        <f>'2020'!#REF!</f>
        <v>#REF!</v>
      </c>
      <c r="E10" s="4" t="e">
        <f>'2021'!#REF!</f>
        <v>#REF!</v>
      </c>
      <c r="F10" s="4" t="e">
        <f>'2022'!#REF!</f>
        <v>#REF!</v>
      </c>
      <c r="G10" s="6" t="e">
        <f>C10-'Раздел 1'!#REF!</f>
        <v>#REF!</v>
      </c>
    </row>
    <row r="11" spans="1:7" x14ac:dyDescent="0.3">
      <c r="A11" s="1" t="s">
        <v>120</v>
      </c>
      <c r="C11" s="4" t="e">
        <f t="shared" si="0"/>
        <v>#REF!</v>
      </c>
      <c r="D11" s="4" t="e">
        <f>'2020'!#REF!</f>
        <v>#REF!</v>
      </c>
      <c r="E11" s="4" t="e">
        <f>'2021'!#REF!</f>
        <v>#REF!</v>
      </c>
      <c r="F11" s="4">
        <f>'2022'!C25</f>
        <v>7413192.0800000001</v>
      </c>
      <c r="G11" s="7" t="e">
        <f>C11-'Раздел 1'!I93</f>
        <v>#REF!</v>
      </c>
    </row>
    <row r="12" spans="1:7" x14ac:dyDescent="0.3">
      <c r="A12" s="1" t="s">
        <v>121</v>
      </c>
      <c r="C12" s="4" t="e">
        <f t="shared" si="0"/>
        <v>#REF!</v>
      </c>
      <c r="D12" s="4" t="e">
        <f>'2020'!#REF!</f>
        <v>#REF!</v>
      </c>
      <c r="E12" s="4" t="e">
        <f>'2021'!#REF!</f>
        <v>#REF!</v>
      </c>
      <c r="F12" s="4" t="e">
        <f>'2022'!#REF!</f>
        <v>#REF!</v>
      </c>
      <c r="G12" s="7" t="e">
        <f>C12-'Раздел 1'!#REF!</f>
        <v>#REF!</v>
      </c>
    </row>
    <row r="13" spans="1:7" x14ac:dyDescent="0.3">
      <c r="A13" s="1" t="s">
        <v>122</v>
      </c>
      <c r="C13" s="4" t="e">
        <f t="shared" si="0"/>
        <v>#REF!</v>
      </c>
      <c r="D13" s="4" t="e">
        <f>'2020'!#REF!</f>
        <v>#REF!</v>
      </c>
      <c r="E13" s="4" t="e">
        <f>'2021'!#REF!</f>
        <v>#REF!</v>
      </c>
      <c r="F13" s="4" t="e">
        <f>'2022'!#REF!</f>
        <v>#REF!</v>
      </c>
      <c r="G13" s="4" t="e">
        <f>C13-'Раздел 1'!#REF!</f>
        <v>#REF!</v>
      </c>
    </row>
    <row r="14" spans="1:7" x14ac:dyDescent="0.3">
      <c r="A14" s="1" t="s">
        <v>123</v>
      </c>
      <c r="C14" s="4" t="e">
        <f t="shared" si="0"/>
        <v>#REF!</v>
      </c>
      <c r="D14" s="4" t="e">
        <f>'2020'!#REF!</f>
        <v>#REF!</v>
      </c>
      <c r="E14" s="4">
        <f>'2021'!C84</f>
        <v>19141271.289999999</v>
      </c>
      <c r="F14" s="4" t="e">
        <f>'2022'!#REF!</f>
        <v>#REF!</v>
      </c>
      <c r="G14" s="4" t="e">
        <f>C14-'Раздел 1'!#REF!</f>
        <v>#REF!</v>
      </c>
    </row>
    <row r="15" spans="1:7" x14ac:dyDescent="0.3">
      <c r="A15" s="1" t="s">
        <v>124</v>
      </c>
      <c r="C15" s="4" t="e">
        <f t="shared" si="0"/>
        <v>#REF!</v>
      </c>
      <c r="D15" s="4" t="e">
        <f>'2020'!#REF!</f>
        <v>#REF!</v>
      </c>
      <c r="E15" s="4" t="e">
        <f>'2021'!#REF!</f>
        <v>#REF!</v>
      </c>
      <c r="F15" s="4" t="e">
        <f>'2022'!#REF!</f>
        <v>#REF!</v>
      </c>
      <c r="G15" s="4" t="e">
        <f>C15-'Раздел 1'!#REF!</f>
        <v>#REF!</v>
      </c>
    </row>
    <row r="16" spans="1:7" x14ac:dyDescent="0.3">
      <c r="A16" s="1" t="s">
        <v>125</v>
      </c>
      <c r="C16" s="4" t="e">
        <f t="shared" si="0"/>
        <v>#REF!</v>
      </c>
      <c r="D16" s="4" t="e">
        <f>'2020'!#REF!</f>
        <v>#REF!</v>
      </c>
      <c r="E16" s="4" t="e">
        <f>'2021'!#REF!</f>
        <v>#REF!</v>
      </c>
      <c r="F16" s="4" t="e">
        <f>'2022'!#REF!</f>
        <v>#REF!</v>
      </c>
      <c r="G16" s="4" t="e">
        <f>C16-'Раздел 1'!#REF!</f>
        <v>#REF!</v>
      </c>
    </row>
    <row r="17" spans="1:7" x14ac:dyDescent="0.3">
      <c r="A17" s="1" t="s">
        <v>126</v>
      </c>
      <c r="C17" s="4" t="e">
        <f t="shared" si="0"/>
        <v>#REF!</v>
      </c>
      <c r="D17" s="4" t="e">
        <f>'2020'!#REF!</f>
        <v>#REF!</v>
      </c>
      <c r="E17" s="4" t="e">
        <f>'2021'!#REF!</f>
        <v>#REF!</v>
      </c>
      <c r="F17" s="4" t="e">
        <f>'2022'!#REF!</f>
        <v>#REF!</v>
      </c>
      <c r="G17" s="4" t="e">
        <f>C17-'Раздел 1'!#REF!</f>
        <v>#REF!</v>
      </c>
    </row>
    <row r="18" spans="1:7" x14ac:dyDescent="0.3">
      <c r="A18" s="1" t="s">
        <v>127</v>
      </c>
      <c r="C18" s="4" t="e">
        <f t="shared" si="0"/>
        <v>#REF!</v>
      </c>
      <c r="D18" s="4" t="e">
        <f>'2020'!#REF!</f>
        <v>#REF!</v>
      </c>
      <c r="E18" s="4" t="e">
        <f>'2021'!#REF!</f>
        <v>#REF!</v>
      </c>
      <c r="F18" s="4" t="e">
        <f>'2022'!#REF!</f>
        <v>#REF!</v>
      </c>
      <c r="G18" s="4" t="e">
        <f>C18-'Раздел 1'!#REF!</f>
        <v>#REF!</v>
      </c>
    </row>
    <row r="19" spans="1:7" x14ac:dyDescent="0.3">
      <c r="A19" s="1" t="s">
        <v>128</v>
      </c>
      <c r="C19" s="4" t="e">
        <f t="shared" si="0"/>
        <v>#REF!</v>
      </c>
      <c r="D19" s="4">
        <f>'2020'!C29</f>
        <v>2815579.2</v>
      </c>
      <c r="E19" s="4">
        <f>'2021'!C115</f>
        <v>3906698.49</v>
      </c>
      <c r="F19" s="4" t="e">
        <f>'2022'!#REF!</f>
        <v>#REF!</v>
      </c>
      <c r="G19" s="4" t="e">
        <f>C19-'Раздел 1'!I162</f>
        <v>#REF!</v>
      </c>
    </row>
    <row r="20" spans="1:7" x14ac:dyDescent="0.3">
      <c r="A20" s="1" t="s">
        <v>129</v>
      </c>
      <c r="C20" s="4" t="e">
        <f t="shared" si="0"/>
        <v>#REF!</v>
      </c>
      <c r="D20" s="4" t="e">
        <f>'2020'!#REF!</f>
        <v>#REF!</v>
      </c>
      <c r="E20" s="4">
        <f>'2021'!C123</f>
        <v>130000</v>
      </c>
      <c r="F20" s="4" t="e">
        <f>'2022'!#REF!</f>
        <v>#REF!</v>
      </c>
      <c r="G20" s="7" t="e">
        <f>C20-'Раздел 1'!I166</f>
        <v>#REF!</v>
      </c>
    </row>
    <row r="21" spans="1:7" x14ac:dyDescent="0.3">
      <c r="A21" s="1" t="s">
        <v>130</v>
      </c>
      <c r="C21" s="4" t="e">
        <f t="shared" si="0"/>
        <v>#REF!</v>
      </c>
      <c r="D21" s="4" t="e">
        <f>'2020'!#REF!</f>
        <v>#REF!</v>
      </c>
      <c r="E21" s="4" t="e">
        <f>'2021'!#REF!</f>
        <v>#REF!</v>
      </c>
      <c r="F21" s="4" t="e">
        <f>'2022'!#REF!</f>
        <v>#REF!</v>
      </c>
      <c r="G21" s="4" t="e">
        <f>C21-'Раздел 1'!#REF!</f>
        <v>#REF!</v>
      </c>
    </row>
    <row r="22" spans="1:7" x14ac:dyDescent="0.3">
      <c r="E22" s="4"/>
      <c r="F22" s="4"/>
    </row>
    <row r="23" spans="1:7" x14ac:dyDescent="0.3">
      <c r="E23" s="4"/>
      <c r="F23" s="4"/>
    </row>
    <row r="24" spans="1:7" x14ac:dyDescent="0.3">
      <c r="A24" s="1" t="s">
        <v>112</v>
      </c>
      <c r="B24" s="1" t="e">
        <f>'Раздел 1'!#REF!</f>
        <v>#REF!</v>
      </c>
      <c r="C24" s="4" t="e">
        <f>SUM(C4:C22)</f>
        <v>#REF!</v>
      </c>
      <c r="D24" s="4" t="e">
        <f>SUM(D4:D21)</f>
        <v>#REF!</v>
      </c>
      <c r="E24" s="4" t="e">
        <f>SUM(E4:E21)</f>
        <v>#REF!</v>
      </c>
      <c r="F24" s="4" t="e">
        <f>SUM(F4:F21)</f>
        <v>#REF!</v>
      </c>
      <c r="G24" s="4" t="e">
        <f>C24-'Раздел 1'!#REF!</f>
        <v>#REF!</v>
      </c>
    </row>
    <row r="26" spans="1:7" x14ac:dyDescent="0.3">
      <c r="A26" s="1" t="s">
        <v>131</v>
      </c>
      <c r="B26" s="1">
        <v>177</v>
      </c>
      <c r="C26" s="4">
        <f>D26+E26+F26</f>
        <v>1820186772.2199998</v>
      </c>
      <c r="D26" s="4">
        <v>1356759812.5599999</v>
      </c>
      <c r="E26" s="1">
        <v>187839468.58000001</v>
      </c>
      <c r="F26" s="1">
        <v>275587491.07999998</v>
      </c>
    </row>
    <row r="27" spans="1:7" x14ac:dyDescent="0.3">
      <c r="B27" s="1">
        <v>470</v>
      </c>
    </row>
    <row r="29" spans="1:7" x14ac:dyDescent="0.3">
      <c r="A29" s="1" t="s">
        <v>140</v>
      </c>
      <c r="C29" s="4">
        <f>D29+E29+F29</f>
        <v>152443317.89530602</v>
      </c>
      <c r="D29" s="4">
        <f>'2020'!C76</f>
        <v>56085695.949378006</v>
      </c>
      <c r="E29" s="4">
        <f>'2021'!C132</f>
        <v>74407074.205927998</v>
      </c>
      <c r="F29" s="4">
        <f>'2022'!C58</f>
        <v>21950547.739999998</v>
      </c>
    </row>
    <row r="30" spans="1:7" x14ac:dyDescent="0.3">
      <c r="C30" s="4">
        <f>D30+E30+F30</f>
        <v>1820186772.2199998</v>
      </c>
      <c r="D30" s="4">
        <v>1356759812.5599999</v>
      </c>
      <c r="E30" s="1">
        <v>187839468.58000001</v>
      </c>
      <c r="F30" s="1">
        <v>275587491.07999998</v>
      </c>
    </row>
    <row r="31" spans="1:7" x14ac:dyDescent="0.3">
      <c r="C31" s="4">
        <f>SUM(C29:C30)</f>
        <v>1972630090.1153059</v>
      </c>
      <c r="D31" s="4">
        <f>SUM(D29:D30)</f>
        <v>1412845508.509378</v>
      </c>
      <c r="E31" s="4">
        <f>SUM(E29:E30)</f>
        <v>262246542.78592801</v>
      </c>
      <c r="F31" s="4">
        <f>SUM(F29:F30)</f>
        <v>297538038.81999999</v>
      </c>
    </row>
    <row r="32" spans="1:7" x14ac:dyDescent="0.3">
      <c r="A32" s="5"/>
      <c r="C32" s="4"/>
      <c r="D32" s="4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2021-01-18T12:05:09Z</cp:lastPrinted>
  <dcterms:created xsi:type="dcterms:W3CDTF">2019-06-18T13:49:47Z</dcterms:created>
  <dcterms:modified xsi:type="dcterms:W3CDTF">2021-01-18T12:37:28Z</dcterms:modified>
</cp:coreProperties>
</file>